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omments2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1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filterPrivacy="1" defaultThemeVersion="124226"/>
  <xr:revisionPtr revIDLastSave="0" documentId="13_ncr:1_{BA8BDE6F-C759-B74A-853D-8D5CF690F771}" xr6:coauthVersionLast="45" xr6:coauthVersionMax="45" xr10:uidLastSave="{00000000-0000-0000-0000-000000000000}"/>
  <bookViews>
    <workbookView xWindow="0" yWindow="460" windowWidth="28800" windowHeight="15520" xr2:uid="{00000000-000D-0000-FFFF-FFFF00000000}"/>
  </bookViews>
  <sheets>
    <sheet name="Income Statement_P&amp;L" sheetId="7" r:id="rId1"/>
    <sheet name="Balance" sheetId="3" r:id="rId2"/>
    <sheet name=" Cash Flow" sheetId="2" r:id="rId3"/>
    <sheet name="Valuation" sheetId="5" r:id="rId4"/>
    <sheet name="6. Ingeniería" sheetId="11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2" l="1"/>
  <c r="I16" i="2"/>
  <c r="H16" i="2"/>
  <c r="G16" i="2"/>
  <c r="J12" i="2"/>
  <c r="I12" i="2"/>
  <c r="H12" i="2"/>
  <c r="G12" i="2"/>
  <c r="P11" i="2" l="1"/>
  <c r="O6" i="2"/>
  <c r="P10" i="2"/>
  <c r="S8" i="7" l="1"/>
  <c r="J14" i="5"/>
  <c r="L8" i="7"/>
  <c r="H25" i="7"/>
  <c r="I25" i="7"/>
  <c r="J25" i="7"/>
  <c r="H11" i="5"/>
  <c r="G11" i="5"/>
  <c r="P25" i="7"/>
  <c r="O25" i="7"/>
  <c r="N25" i="7"/>
  <c r="M25" i="7"/>
  <c r="L25" i="7"/>
  <c r="L6" i="7"/>
  <c r="J13" i="3" l="1"/>
  <c r="K15" i="7"/>
  <c r="K11" i="7"/>
  <c r="H18" i="2"/>
  <c r="G18" i="2"/>
  <c r="H21" i="2"/>
  <c r="G21" i="2"/>
  <c r="I20" i="2"/>
  <c r="I21" i="2" s="1"/>
  <c r="H20" i="2"/>
  <c r="G20" i="2"/>
  <c r="I27" i="2"/>
  <c r="H27" i="2"/>
  <c r="G27" i="2"/>
  <c r="I26" i="2"/>
  <c r="H26" i="2"/>
  <c r="G26" i="2"/>
  <c r="H24" i="2"/>
  <c r="G24" i="2"/>
  <c r="H23" i="2"/>
  <c r="G23" i="2"/>
  <c r="H17" i="2"/>
  <c r="G17" i="2"/>
  <c r="H15" i="2"/>
  <c r="G15" i="2"/>
  <c r="G14" i="2"/>
  <c r="H14" i="2"/>
  <c r="H11" i="2"/>
  <c r="G11" i="2"/>
  <c r="I11" i="2"/>
  <c r="G7" i="2"/>
  <c r="H7" i="2"/>
  <c r="I7" i="2"/>
  <c r="H17" i="3"/>
  <c r="G17" i="3"/>
  <c r="I17" i="3"/>
  <c r="G13" i="3"/>
  <c r="I13" i="3"/>
  <c r="H15" i="7"/>
  <c r="H17" i="7" s="1"/>
  <c r="H19" i="7" s="1"/>
  <c r="I15" i="7"/>
  <c r="I17" i="7" s="1"/>
  <c r="I19" i="7" s="1"/>
  <c r="J17" i="7"/>
  <c r="J20" i="7" s="1"/>
  <c r="J14" i="7"/>
  <c r="I14" i="7"/>
  <c r="H14" i="7"/>
  <c r="J13" i="7"/>
  <c r="I13" i="7"/>
  <c r="H13" i="7"/>
  <c r="J11" i="7"/>
  <c r="J9" i="7" s="1"/>
  <c r="J10" i="7" s="1"/>
  <c r="I11" i="7"/>
  <c r="I10" i="7"/>
  <c r="H10" i="7"/>
  <c r="I9" i="7"/>
  <c r="H9" i="7"/>
  <c r="J8" i="7"/>
  <c r="I8" i="7"/>
  <c r="H8" i="7"/>
  <c r="J6" i="7"/>
  <c r="I6" i="7"/>
  <c r="H6" i="7"/>
  <c r="K8" i="7"/>
  <c r="J19" i="7" l="1"/>
  <c r="H20" i="7"/>
  <c r="H22" i="7" s="1"/>
  <c r="I22" i="7"/>
  <c r="I20" i="7"/>
  <c r="J22" i="7"/>
  <c r="I23" i="7" l="1"/>
  <c r="I24" i="7"/>
  <c r="J24" i="7"/>
  <c r="J23" i="7"/>
  <c r="H23" i="7"/>
  <c r="H24" i="7"/>
  <c r="E59" i="5" l="1"/>
  <c r="J26" i="2" l="1"/>
  <c r="J11" i="2"/>
  <c r="K26" i="7"/>
  <c r="K9" i="7"/>
  <c r="L11" i="7"/>
  <c r="K13" i="7"/>
  <c r="J11" i="5" l="1"/>
  <c r="M26" i="7"/>
  <c r="L26" i="7"/>
  <c r="J17" i="3"/>
  <c r="J18" i="3"/>
  <c r="N26" i="7" l="1"/>
  <c r="J20" i="3"/>
  <c r="O26" i="7" l="1"/>
  <c r="P26" i="7"/>
  <c r="P38" i="3"/>
  <c r="J27" i="2" l="1"/>
  <c r="K41" i="3"/>
  <c r="I28" i="7"/>
  <c r="K7" i="2" s="1"/>
  <c r="L7" i="2" s="1"/>
  <c r="M7" i="2" s="1"/>
  <c r="N7" i="2" s="1"/>
  <c r="O7" i="2" s="1"/>
  <c r="K15" i="3" l="1"/>
  <c r="K6" i="2"/>
  <c r="K12" i="3"/>
  <c r="L12" i="3" s="1"/>
  <c r="M12" i="3" s="1"/>
  <c r="N12" i="3" s="1"/>
  <c r="O12" i="3" s="1"/>
  <c r="K8" i="3"/>
  <c r="K14" i="3"/>
  <c r="K33" i="3"/>
  <c r="K27" i="3"/>
  <c r="K28" i="3" s="1"/>
  <c r="F21" i="2"/>
  <c r="E21" i="2"/>
  <c r="D21" i="2"/>
  <c r="J22" i="3"/>
  <c r="L8" i="3" l="1"/>
  <c r="M8" i="3" s="1"/>
  <c r="N8" i="3" s="1"/>
  <c r="O8" i="3" s="1"/>
  <c r="P30" i="3" s="1"/>
  <c r="L30" i="3"/>
  <c r="H38" i="3"/>
  <c r="P33" i="3"/>
  <c r="P34" i="3" s="1"/>
  <c r="O33" i="3"/>
  <c r="O34" i="3" s="1"/>
  <c r="N33" i="3"/>
  <c r="N34" i="3" s="1"/>
  <c r="M33" i="3"/>
  <c r="M34" i="3" s="1"/>
  <c r="L33" i="3"/>
  <c r="L34" i="3" s="1"/>
  <c r="P27" i="3"/>
  <c r="O27" i="3"/>
  <c r="N27" i="3"/>
  <c r="M27" i="3"/>
  <c r="L27" i="3"/>
  <c r="D36" i="7"/>
  <c r="E3" i="7"/>
  <c r="F3" i="7" s="1"/>
  <c r="F36" i="7" s="1"/>
  <c r="E6" i="7"/>
  <c r="F6" i="7"/>
  <c r="D8" i="7"/>
  <c r="E8" i="7"/>
  <c r="F8" i="7"/>
  <c r="D9" i="7"/>
  <c r="D10" i="7" s="1"/>
  <c r="E9" i="7"/>
  <c r="F9" i="7"/>
  <c r="E12" i="2" s="1"/>
  <c r="D13" i="7"/>
  <c r="E13" i="7"/>
  <c r="F13" i="7"/>
  <c r="E14" i="7"/>
  <c r="F14" i="7"/>
  <c r="D17" i="7"/>
  <c r="D20" i="7" s="1"/>
  <c r="D22" i="7" s="1"/>
  <c r="E17" i="7"/>
  <c r="E20" i="7" s="1"/>
  <c r="E22" i="7" s="1"/>
  <c r="F17" i="7"/>
  <c r="F19" i="7" s="1"/>
  <c r="D38" i="7"/>
  <c r="E38" i="7"/>
  <c r="F38" i="7"/>
  <c r="D94" i="7"/>
  <c r="E100" i="7"/>
  <c r="E101" i="7" s="1"/>
  <c r="E102" i="7"/>
  <c r="F103" i="7" s="1"/>
  <c r="M30" i="3" l="1"/>
  <c r="M35" i="3" s="1"/>
  <c r="O30" i="3"/>
  <c r="P32" i="3" s="1"/>
  <c r="N30" i="3"/>
  <c r="N35" i="3" s="1"/>
  <c r="P35" i="3"/>
  <c r="D39" i="7"/>
  <c r="L29" i="3"/>
  <c r="P29" i="3"/>
  <c r="M29" i="3"/>
  <c r="M36" i="3"/>
  <c r="L35" i="3"/>
  <c r="O29" i="3"/>
  <c r="E13" i="2"/>
  <c r="E18" i="2"/>
  <c r="E10" i="7"/>
  <c r="D12" i="2"/>
  <c r="E94" i="7"/>
  <c r="E19" i="7"/>
  <c r="F10" i="7"/>
  <c r="O28" i="3"/>
  <c r="N28" i="3"/>
  <c r="N29" i="3"/>
  <c r="P28" i="3"/>
  <c r="M28" i="3"/>
  <c r="F20" i="7"/>
  <c r="F22" i="7" s="1"/>
  <c r="F24" i="7" s="1"/>
  <c r="D19" i="7"/>
  <c r="E36" i="7"/>
  <c r="G3" i="7"/>
  <c r="G36" i="7" s="1"/>
  <c r="F94" i="7"/>
  <c r="E103" i="7"/>
  <c r="E39" i="7"/>
  <c r="D23" i="7"/>
  <c r="D24" i="7"/>
  <c r="E24" i="7"/>
  <c r="E23" i="7"/>
  <c r="F101" i="7"/>
  <c r="M32" i="3" l="1"/>
  <c r="P36" i="3"/>
  <c r="O35" i="3"/>
  <c r="O36" i="3"/>
  <c r="N36" i="3"/>
  <c r="O32" i="3"/>
  <c r="N32" i="3"/>
  <c r="F23" i="7"/>
  <c r="D13" i="2"/>
  <c r="D18" i="2"/>
  <c r="I17" i="2" l="1"/>
  <c r="I18" i="2"/>
  <c r="I14" i="2"/>
  <c r="I23" i="2"/>
  <c r="I24" i="2"/>
  <c r="I15" i="2"/>
  <c r="J14" i="2"/>
  <c r="K8" i="2"/>
  <c r="L8" i="2" s="1"/>
  <c r="M8" i="2" s="1"/>
  <c r="I11" i="5"/>
  <c r="G17" i="7"/>
  <c r="G20" i="7" s="1"/>
  <c r="G22" i="7" s="1"/>
  <c r="K14" i="7"/>
  <c r="G14" i="7"/>
  <c r="G13" i="7"/>
  <c r="K10" i="7"/>
  <c r="G9" i="7"/>
  <c r="G8" i="7"/>
  <c r="K6" i="7"/>
  <c r="G6" i="7"/>
  <c r="K26" i="2" l="1"/>
  <c r="K11" i="2"/>
  <c r="N8" i="2"/>
  <c r="L31" i="3"/>
  <c r="L37" i="3" s="1"/>
  <c r="L12" i="7"/>
  <c r="L9" i="7" s="1"/>
  <c r="G10" i="7"/>
  <c r="F12" i="2"/>
  <c r="G23" i="7"/>
  <c r="G24" i="7"/>
  <c r="G19" i="7"/>
  <c r="K17" i="7"/>
  <c r="M33" i="5"/>
  <c r="M32" i="5" s="1"/>
  <c r="J25" i="5"/>
  <c r="J16" i="5"/>
  <c r="E27" i="3"/>
  <c r="F38" i="3"/>
  <c r="G38" i="3"/>
  <c r="I38" i="3"/>
  <c r="J38" i="3"/>
  <c r="E38" i="3"/>
  <c r="F33" i="3"/>
  <c r="G33" i="3"/>
  <c r="H33" i="3"/>
  <c r="I33" i="3"/>
  <c r="J33" i="3"/>
  <c r="E33" i="3"/>
  <c r="F30" i="3"/>
  <c r="G30" i="3"/>
  <c r="H30" i="3"/>
  <c r="I30" i="3"/>
  <c r="J30" i="3"/>
  <c r="K30" i="3"/>
  <c r="E30" i="3"/>
  <c r="E35" i="3" s="1"/>
  <c r="F27" i="3"/>
  <c r="G27" i="3"/>
  <c r="H27" i="3"/>
  <c r="I27" i="3"/>
  <c r="J27" i="3"/>
  <c r="L10" i="7" l="1"/>
  <c r="H35" i="3"/>
  <c r="I36" i="3"/>
  <c r="H13" i="2" s="1"/>
  <c r="K35" i="3"/>
  <c r="L36" i="3"/>
  <c r="O8" i="2"/>
  <c r="J20" i="2"/>
  <c r="F13" i="2"/>
  <c r="F18" i="2"/>
  <c r="H36" i="3"/>
  <c r="G13" i="2" s="1"/>
  <c r="G35" i="3"/>
  <c r="J35" i="3"/>
  <c r="L32" i="3"/>
  <c r="L28" i="3"/>
  <c r="K36" i="3"/>
  <c r="G36" i="3"/>
  <c r="F35" i="3"/>
  <c r="J36" i="3"/>
  <c r="I13" i="2" s="1"/>
  <c r="F36" i="3"/>
  <c r="I35" i="3"/>
  <c r="E36" i="3"/>
  <c r="L14" i="7"/>
  <c r="K19" i="7" l="1"/>
  <c r="K20" i="7"/>
  <c r="J21" i="2"/>
  <c r="K22" i="7"/>
  <c r="K24" i="7" s="1"/>
  <c r="K23" i="7" l="1"/>
  <c r="K40" i="3"/>
  <c r="J17" i="2"/>
  <c r="J15" i="2"/>
  <c r="J24" i="2"/>
  <c r="J13" i="2"/>
  <c r="J18" i="2"/>
  <c r="F40" i="3"/>
  <c r="G40" i="3"/>
  <c r="H40" i="3"/>
  <c r="I40" i="3"/>
  <c r="J40" i="3"/>
  <c r="E40" i="3"/>
  <c r="F28" i="3"/>
  <c r="G28" i="3"/>
  <c r="H28" i="3"/>
  <c r="I28" i="3"/>
  <c r="J28" i="3"/>
  <c r="F32" i="3"/>
  <c r="G32" i="3"/>
  <c r="H32" i="3"/>
  <c r="I32" i="3"/>
  <c r="J32" i="3"/>
  <c r="K32" i="3"/>
  <c r="M96" i="7"/>
  <c r="M97" i="7"/>
  <c r="M98" i="7"/>
  <c r="L95" i="7"/>
  <c r="M95" i="7" s="1"/>
  <c r="L98" i="7"/>
  <c r="L97" i="7"/>
  <c r="L96" i="7"/>
  <c r="E22" i="3"/>
  <c r="F22" i="3"/>
  <c r="G22" i="3"/>
  <c r="H22" i="3"/>
  <c r="I22" i="3"/>
  <c r="D22" i="3"/>
  <c r="D17" i="3"/>
  <c r="D18" i="3"/>
  <c r="D20" i="3" s="1"/>
  <c r="D21" i="3" l="1"/>
  <c r="M15" i="11" l="1"/>
  <c r="L15" i="11"/>
  <c r="M19" i="11"/>
  <c r="L19" i="11"/>
  <c r="L16" i="11"/>
  <c r="M16" i="11" s="1"/>
  <c r="L13" i="11"/>
  <c r="M13" i="11" s="1"/>
  <c r="L18" i="11"/>
  <c r="M18" i="11" s="1"/>
  <c r="L14" i="11"/>
  <c r="M14" i="11" s="1"/>
  <c r="M9" i="11"/>
  <c r="L9" i="11"/>
  <c r="L8" i="11"/>
  <c r="M8" i="11" s="1"/>
  <c r="E15" i="11"/>
  <c r="F15" i="11"/>
  <c r="G15" i="11"/>
  <c r="H15" i="11"/>
  <c r="I15" i="11"/>
  <c r="J15" i="11"/>
  <c r="K15" i="11"/>
  <c r="D15" i="11"/>
  <c r="N26" i="11"/>
  <c r="N25" i="11"/>
  <c r="F11" i="11"/>
  <c r="G11" i="11"/>
  <c r="H11" i="11"/>
  <c r="I11" i="11"/>
  <c r="J11" i="11"/>
  <c r="K11" i="11"/>
  <c r="E11" i="11"/>
  <c r="F9" i="11"/>
  <c r="G9" i="11"/>
  <c r="H9" i="11"/>
  <c r="I9" i="11"/>
  <c r="J9" i="11"/>
  <c r="K9" i="11"/>
  <c r="E9" i="11"/>
  <c r="R14" i="11"/>
  <c r="R13" i="11"/>
  <c r="R12" i="11"/>
  <c r="R11" i="11"/>
  <c r="R10" i="11"/>
  <c r="R9" i="11"/>
  <c r="R8" i="11"/>
  <c r="E2" i="11"/>
  <c r="F2" i="11" s="1"/>
  <c r="G2" i="11" s="1"/>
  <c r="H2" i="11" s="1"/>
  <c r="I2" i="11" s="1"/>
  <c r="J2" i="11" s="1"/>
  <c r="K2" i="11" s="1"/>
  <c r="L2" i="11" s="1"/>
  <c r="M2" i="11" s="1"/>
  <c r="G25" i="11"/>
  <c r="G27" i="11" s="1"/>
  <c r="J24" i="11" s="1"/>
  <c r="E17" i="11"/>
  <c r="E19" i="11" s="1"/>
  <c r="F17" i="11"/>
  <c r="F19" i="11" s="1"/>
  <c r="G17" i="11"/>
  <c r="G19" i="11" s="1"/>
  <c r="H17" i="11"/>
  <c r="H19" i="11" s="1"/>
  <c r="I17" i="11"/>
  <c r="I19" i="11" s="1"/>
  <c r="J17" i="11"/>
  <c r="J20" i="11" s="1"/>
  <c r="K17" i="11"/>
  <c r="K19" i="11" s="1"/>
  <c r="D17" i="11"/>
  <c r="D20" i="11" s="1"/>
  <c r="E21" i="11"/>
  <c r="F21" i="11"/>
  <c r="G21" i="11"/>
  <c r="H21" i="11"/>
  <c r="I21" i="11"/>
  <c r="J21" i="11"/>
  <c r="K21" i="11"/>
  <c r="D21" i="11"/>
  <c r="P10" i="11"/>
  <c r="D41" i="11"/>
  <c r="D42" i="11" s="1"/>
  <c r="D44" i="11" s="1"/>
  <c r="D45" i="11" s="1"/>
  <c r="D31" i="11"/>
  <c r="D26" i="11"/>
  <c r="E29" i="3"/>
  <c r="F29" i="3"/>
  <c r="G29" i="3"/>
  <c r="H29" i="3"/>
  <c r="I29" i="3"/>
  <c r="J29" i="3"/>
  <c r="K29" i="3"/>
  <c r="E31" i="3"/>
  <c r="F31" i="3"/>
  <c r="G31" i="3"/>
  <c r="H31" i="3"/>
  <c r="I31" i="3"/>
  <c r="J31" i="3"/>
  <c r="K31" i="3"/>
  <c r="E34" i="3"/>
  <c r="F34" i="3"/>
  <c r="G34" i="3"/>
  <c r="H34" i="3"/>
  <c r="I34" i="3"/>
  <c r="D28" i="11" l="1"/>
  <c r="D46" i="11" s="1"/>
  <c r="D47" i="11" s="1"/>
  <c r="D48" i="11" s="1"/>
  <c r="D49" i="11" s="1"/>
  <c r="D33" i="11"/>
  <c r="M21" i="11"/>
  <c r="M17" i="11"/>
  <c r="M20" i="11" s="1"/>
  <c r="L17" i="11"/>
  <c r="L20" i="11" s="1"/>
  <c r="L21" i="11"/>
  <c r="D19" i="11"/>
  <c r="J19" i="11"/>
  <c r="J26" i="11"/>
  <c r="K20" i="11"/>
  <c r="J27" i="11" s="1"/>
  <c r="I20" i="11"/>
  <c r="F20" i="11"/>
  <c r="H20" i="11"/>
  <c r="J25" i="11"/>
  <c r="G20" i="11"/>
  <c r="E20" i="11"/>
  <c r="P19" i="11" l="1"/>
  <c r="H3" i="7" l="1"/>
  <c r="G94" i="7"/>
  <c r="E58" i="5"/>
  <c r="G69" i="5" s="1"/>
  <c r="K18" i="5"/>
  <c r="E9" i="5"/>
  <c r="F9" i="5"/>
  <c r="D9" i="5"/>
  <c r="E4" i="3"/>
  <c r="F4" i="3"/>
  <c r="E26" i="3"/>
  <c r="F26" i="3"/>
  <c r="G26" i="3"/>
  <c r="D4" i="3"/>
  <c r="E5" i="2"/>
  <c r="F5" i="2"/>
  <c r="D5" i="2"/>
  <c r="G38" i="7"/>
  <c r="F39" i="7" s="1"/>
  <c r="H38" i="7"/>
  <c r="I38" i="7"/>
  <c r="J38" i="7"/>
  <c r="K38" i="7"/>
  <c r="K39" i="7" s="1"/>
  <c r="F18" i="3"/>
  <c r="F20" i="3" s="1"/>
  <c r="J34" i="3"/>
  <c r="K34" i="3"/>
  <c r="G103" i="7"/>
  <c r="H103" i="7"/>
  <c r="I103" i="7"/>
  <c r="J103" i="7"/>
  <c r="K103" i="7"/>
  <c r="L103" i="7"/>
  <c r="G66" i="5"/>
  <c r="F17" i="3"/>
  <c r="G18" i="3"/>
  <c r="G20" i="3" s="1"/>
  <c r="H18" i="3"/>
  <c r="H20" i="3" s="1"/>
  <c r="I18" i="3"/>
  <c r="I20" i="3" s="1"/>
  <c r="E17" i="3"/>
  <c r="E18" i="3"/>
  <c r="E20" i="3" s="1"/>
  <c r="G9" i="5" l="1"/>
  <c r="H36" i="7"/>
  <c r="G5" i="2"/>
  <c r="H26" i="3"/>
  <c r="G4" i="3"/>
  <c r="J23" i="2"/>
  <c r="M38" i="5"/>
  <c r="M36" i="5"/>
  <c r="M35" i="5"/>
  <c r="G101" i="7"/>
  <c r="E19" i="3"/>
  <c r="H101" i="7"/>
  <c r="F19" i="3"/>
  <c r="I101" i="7"/>
  <c r="K101" i="7"/>
  <c r="I19" i="3"/>
  <c r="J26" i="5"/>
  <c r="J15" i="5"/>
  <c r="M34" i="5"/>
  <c r="F21" i="3"/>
  <c r="G21" i="3"/>
  <c r="H21" i="3"/>
  <c r="E21" i="3"/>
  <c r="I21" i="3"/>
  <c r="J21" i="3"/>
  <c r="I3" i="7"/>
  <c r="I36" i="7" s="1"/>
  <c r="H94" i="7"/>
  <c r="H37" i="3"/>
  <c r="F37" i="3"/>
  <c r="I78" i="7"/>
  <c r="O78" i="7"/>
  <c r="P78" i="7"/>
  <c r="N78" i="7"/>
  <c r="M78" i="7"/>
  <c r="L78" i="7"/>
  <c r="K78" i="7"/>
  <c r="J78" i="7"/>
  <c r="K37" i="3"/>
  <c r="J37" i="3"/>
  <c r="I37" i="3"/>
  <c r="G37" i="3"/>
  <c r="E37" i="3"/>
  <c r="H39" i="7"/>
  <c r="F18" i="5"/>
  <c r="G39" i="7"/>
  <c r="I39" i="7"/>
  <c r="J13" i="5"/>
  <c r="J39" i="7"/>
  <c r="T8" i="3" l="1"/>
  <c r="G19" i="3"/>
  <c r="L101" i="7"/>
  <c r="J23" i="5"/>
  <c r="J19" i="3"/>
  <c r="D19" i="3"/>
  <c r="H19" i="3"/>
  <c r="G10" i="5"/>
  <c r="I10" i="5"/>
  <c r="E10" i="5"/>
  <c r="F10" i="5"/>
  <c r="J24" i="5"/>
  <c r="E54" i="5"/>
  <c r="J10" i="5"/>
  <c r="J27" i="5"/>
  <c r="H10" i="5"/>
  <c r="J101" i="7"/>
  <c r="M37" i="5"/>
  <c r="Y34" i="3"/>
  <c r="X34" i="3"/>
  <c r="V34" i="3"/>
  <c r="T34" i="3"/>
  <c r="Z34" i="3"/>
  <c r="W34" i="3"/>
  <c r="U34" i="3"/>
  <c r="J3" i="7"/>
  <c r="K3" i="7" s="1"/>
  <c r="L3" i="7" s="1"/>
  <c r="M3" i="7" s="1"/>
  <c r="N3" i="7" s="1"/>
  <c r="O3" i="7" s="1"/>
  <c r="I94" i="7"/>
  <c r="H9" i="5"/>
  <c r="I26" i="3"/>
  <c r="H4" i="3"/>
  <c r="H5" i="2"/>
  <c r="S34" i="3"/>
  <c r="Q34" i="3"/>
  <c r="R34" i="3"/>
  <c r="J36" i="7" l="1"/>
  <c r="I5" i="2"/>
  <c r="T7" i="3"/>
  <c r="W33" i="3"/>
  <c r="T33" i="3"/>
  <c r="X33" i="3"/>
  <c r="U33" i="3"/>
  <c r="Y33" i="3"/>
  <c r="V33" i="3"/>
  <c r="Z33" i="3"/>
  <c r="J94" i="7"/>
  <c r="I9" i="5"/>
  <c r="J26" i="3"/>
  <c r="I4" i="3"/>
  <c r="R33" i="3"/>
  <c r="P79" i="7"/>
  <c r="J79" i="7"/>
  <c r="S33" i="3"/>
  <c r="Q33" i="3"/>
  <c r="I79" i="7"/>
  <c r="K79" i="7"/>
  <c r="L79" i="7"/>
  <c r="M79" i="7"/>
  <c r="N79" i="7"/>
  <c r="O79" i="7"/>
  <c r="K36" i="7" l="1"/>
  <c r="J5" i="2"/>
  <c r="K94" i="7"/>
  <c r="J9" i="5"/>
  <c r="K26" i="3"/>
  <c r="L26" i="3" s="1"/>
  <c r="M26" i="3" s="1"/>
  <c r="N26" i="3" s="1"/>
  <c r="O26" i="3" s="1"/>
  <c r="P26" i="3" s="1"/>
  <c r="J4" i="3"/>
  <c r="K4" i="3" s="1"/>
  <c r="L4" i="3" s="1"/>
  <c r="M4" i="3" s="1"/>
  <c r="N4" i="3" s="1"/>
  <c r="O4" i="3" s="1"/>
  <c r="J22" i="5" l="1"/>
  <c r="K9" i="5"/>
  <c r="K5" i="2"/>
  <c r="L9" i="5" l="1"/>
  <c r="M9" i="5" s="1"/>
  <c r="N9" i="5" s="1"/>
  <c r="O9" i="5" s="1"/>
  <c r="K22" i="5"/>
  <c r="L22" i="5"/>
  <c r="L5" i="2"/>
  <c r="M22" i="5" l="1"/>
  <c r="M5" i="2"/>
  <c r="N22" i="5" l="1"/>
  <c r="P3" i="7"/>
  <c r="N5" i="2"/>
  <c r="O22" i="5" l="1"/>
  <c r="O5" i="2"/>
  <c r="D10" i="5"/>
  <c r="K9" i="3" l="1"/>
  <c r="L14" i="3"/>
  <c r="M14" i="3" s="1"/>
  <c r="N14" i="3" s="1"/>
  <c r="O14" i="3" s="1"/>
  <c r="K6" i="3"/>
  <c r="L15" i="7"/>
  <c r="L15" i="3"/>
  <c r="M15" i="3" s="1"/>
  <c r="N15" i="3" s="1"/>
  <c r="O15" i="3" s="1"/>
  <c r="K10" i="3"/>
  <c r="K22" i="3" s="1"/>
  <c r="K13" i="3"/>
  <c r="M15" i="7" l="1"/>
  <c r="N15" i="7" s="1"/>
  <c r="O15" i="7" s="1"/>
  <c r="P15" i="7" s="1"/>
  <c r="K18" i="3"/>
  <c r="K20" i="3" s="1"/>
  <c r="K17" i="3"/>
  <c r="K21" i="3" s="1"/>
  <c r="L13" i="3"/>
  <c r="L9" i="3"/>
  <c r="L6" i="3"/>
  <c r="K11" i="5"/>
  <c r="L41" i="3"/>
  <c r="K27" i="2"/>
  <c r="L10" i="3"/>
  <c r="M10" i="3" s="1"/>
  <c r="N10" i="3" s="1"/>
  <c r="K15" i="5"/>
  <c r="K26" i="5"/>
  <c r="K38" i="3"/>
  <c r="K16" i="5"/>
  <c r="M11" i="7"/>
  <c r="N11" i="7" s="1"/>
  <c r="O11" i="7" s="1"/>
  <c r="P11" i="7" s="1"/>
  <c r="L17" i="7"/>
  <c r="L18" i="7" s="1"/>
  <c r="K12" i="2" s="1"/>
  <c r="M5" i="7"/>
  <c r="M8" i="7" s="1"/>
  <c r="K25" i="5"/>
  <c r="K20" i="2" l="1"/>
  <c r="L11" i="2"/>
  <c r="L26" i="2"/>
  <c r="M13" i="3"/>
  <c r="L17" i="3"/>
  <c r="M9" i="3"/>
  <c r="L18" i="3"/>
  <c r="M6" i="3"/>
  <c r="L38" i="3"/>
  <c r="L27" i="2"/>
  <c r="M12" i="7"/>
  <c r="M9" i="7" s="1"/>
  <c r="L22" i="3"/>
  <c r="M22" i="3"/>
  <c r="N5" i="7"/>
  <c r="N8" i="7" s="1"/>
  <c r="M31" i="3"/>
  <c r="M37" i="3" s="1"/>
  <c r="N22" i="3"/>
  <c r="O10" i="3"/>
  <c r="O22" i="3" s="1"/>
  <c r="M10" i="7" l="1"/>
  <c r="K14" i="5"/>
  <c r="L11" i="5"/>
  <c r="M26" i="2"/>
  <c r="M11" i="2"/>
  <c r="M17" i="3"/>
  <c r="N13" i="3"/>
  <c r="N9" i="3"/>
  <c r="M18" i="3"/>
  <c r="M41" i="3"/>
  <c r="N6" i="3"/>
  <c r="M38" i="3"/>
  <c r="N12" i="7"/>
  <c r="N9" i="7" s="1"/>
  <c r="K21" i="2"/>
  <c r="K14" i="2"/>
  <c r="L21" i="3"/>
  <c r="M14" i="7"/>
  <c r="L16" i="5"/>
  <c r="L20" i="3"/>
  <c r="M17" i="7"/>
  <c r="M18" i="7" s="1"/>
  <c r="L20" i="2" s="1"/>
  <c r="L25" i="5"/>
  <c r="N31" i="3"/>
  <c r="N37" i="3" s="1"/>
  <c r="O5" i="7"/>
  <c r="O8" i="7" s="1"/>
  <c r="L20" i="7"/>
  <c r="L22" i="7" s="1"/>
  <c r="K13" i="5" s="1"/>
  <c r="L12" i="2" l="1"/>
  <c r="L15" i="2" s="1"/>
  <c r="N26" i="2"/>
  <c r="N11" i="2"/>
  <c r="M11" i="5"/>
  <c r="N10" i="7"/>
  <c r="M27" i="2"/>
  <c r="N17" i="3"/>
  <c r="O13" i="3"/>
  <c r="O9" i="3"/>
  <c r="N18" i="3"/>
  <c r="N41" i="3"/>
  <c r="O6" i="3"/>
  <c r="N38" i="3"/>
  <c r="K10" i="5"/>
  <c r="L40" i="3"/>
  <c r="K17" i="2"/>
  <c r="K24" i="2"/>
  <c r="M20" i="3"/>
  <c r="M21" i="3"/>
  <c r="M16" i="5"/>
  <c r="D16" i="5" s="1"/>
  <c r="N14" i="7"/>
  <c r="N17" i="7"/>
  <c r="M25" i="5"/>
  <c r="L15" i="5"/>
  <c r="L26" i="5"/>
  <c r="K13" i="2"/>
  <c r="K16" i="2" s="1"/>
  <c r="K18" i="2"/>
  <c r="K15" i="2"/>
  <c r="K27" i="5"/>
  <c r="K24" i="5"/>
  <c r="K23" i="2"/>
  <c r="L24" i="7"/>
  <c r="K19" i="3"/>
  <c r="L23" i="7"/>
  <c r="K23" i="5"/>
  <c r="P5" i="7"/>
  <c r="P8" i="7" s="1"/>
  <c r="O31" i="3"/>
  <c r="O37" i="3" s="1"/>
  <c r="M20" i="7"/>
  <c r="M22" i="7" s="1"/>
  <c r="L13" i="5" s="1"/>
  <c r="L14" i="5" l="1"/>
  <c r="N27" i="2"/>
  <c r="O26" i="2"/>
  <c r="O11" i="2"/>
  <c r="O17" i="3"/>
  <c r="O18" i="3"/>
  <c r="O38" i="3"/>
  <c r="M23" i="7"/>
  <c r="M24" i="7"/>
  <c r="L19" i="3"/>
  <c r="L23" i="5"/>
  <c r="P31" i="3"/>
  <c r="P37" i="3" s="1"/>
  <c r="M15" i="5"/>
  <c r="D15" i="5" s="1"/>
  <c r="M26" i="5"/>
  <c r="L21" i="2"/>
  <c r="N18" i="7"/>
  <c r="M12" i="2" s="1"/>
  <c r="M14" i="5" l="1"/>
  <c r="O27" i="2"/>
  <c r="M20" i="2"/>
  <c r="M21" i="2" s="1"/>
  <c r="L10" i="5"/>
  <c r="M40" i="3"/>
  <c r="L17" i="2"/>
  <c r="L24" i="2"/>
  <c r="N20" i="7"/>
  <c r="N22" i="7" s="1"/>
  <c r="M23" i="5" s="1"/>
  <c r="L13" i="2"/>
  <c r="L16" i="2" s="1"/>
  <c r="L14" i="2"/>
  <c r="L18" i="2"/>
  <c r="L27" i="5"/>
  <c r="L24" i="5"/>
  <c r="L23" i="2"/>
  <c r="M10" i="5" l="1"/>
  <c r="N40" i="3"/>
  <c r="M17" i="2"/>
  <c r="M24" i="2"/>
  <c r="N24" i="7"/>
  <c r="M13" i="5"/>
  <c r="D13" i="5" s="1"/>
  <c r="M19" i="3"/>
  <c r="N23" i="7"/>
  <c r="M18" i="2"/>
  <c r="M13" i="2"/>
  <c r="M15" i="2"/>
  <c r="M27" i="5"/>
  <c r="M14" i="2"/>
  <c r="M24" i="5"/>
  <c r="M23" i="2"/>
  <c r="O12" i="7"/>
  <c r="O17" i="7" s="1"/>
  <c r="D14" i="5" l="1"/>
  <c r="M16" i="2"/>
  <c r="N21" i="3"/>
  <c r="O9" i="7"/>
  <c r="N12" i="2" s="1"/>
  <c r="N16" i="5"/>
  <c r="O14" i="7"/>
  <c r="N20" i="3"/>
  <c r="N25" i="5"/>
  <c r="O18" i="7"/>
  <c r="O10" i="7" l="1"/>
  <c r="N14" i="5"/>
  <c r="O41" i="3"/>
  <c r="N11" i="5"/>
  <c r="O20" i="7"/>
  <c r="O22" i="7" s="1"/>
  <c r="N13" i="5" s="1"/>
  <c r="N20" i="2"/>
  <c r="N21" i="2" s="1"/>
  <c r="N15" i="5"/>
  <c r="N26" i="5"/>
  <c r="N17" i="2" l="1"/>
  <c r="N14" i="2"/>
  <c r="O23" i="7"/>
  <c r="N23" i="5"/>
  <c r="N19" i="3"/>
  <c r="O24" i="7"/>
  <c r="O40" i="3"/>
  <c r="N10" i="5"/>
  <c r="N24" i="2"/>
  <c r="N24" i="5"/>
  <c r="N13" i="2"/>
  <c r="N16" i="2" s="1"/>
  <c r="N15" i="2"/>
  <c r="N23" i="2"/>
  <c r="N27" i="5"/>
  <c r="N18" i="2"/>
  <c r="P12" i="7"/>
  <c r="P14" i="7" l="1"/>
  <c r="P9" i="7"/>
  <c r="P17" i="7"/>
  <c r="O20" i="3"/>
  <c r="O25" i="5"/>
  <c r="O21" i="3"/>
  <c r="O16" i="5"/>
  <c r="E16" i="5" s="1"/>
  <c r="P10" i="7" l="1"/>
  <c r="O26" i="5"/>
  <c r="O11" i="5"/>
  <c r="P41" i="3"/>
  <c r="O15" i="5"/>
  <c r="E15" i="5" s="1"/>
  <c r="P18" i="7"/>
  <c r="O12" i="2" s="1"/>
  <c r="O13" i="2" l="1"/>
  <c r="O16" i="2" s="1"/>
  <c r="O14" i="5"/>
  <c r="P20" i="7"/>
  <c r="P22" i="7" s="1"/>
  <c r="O13" i="5" s="1"/>
  <c r="O20" i="2"/>
  <c r="O21" i="2" s="1"/>
  <c r="E13" i="5" l="1"/>
  <c r="O7" i="5"/>
  <c r="P24" i="7"/>
  <c r="O19" i="3"/>
  <c r="O23" i="5"/>
  <c r="P23" i="7"/>
  <c r="P40" i="3"/>
  <c r="O10" i="5"/>
  <c r="O17" i="2"/>
  <c r="O24" i="2"/>
  <c r="O23" i="2"/>
  <c r="O27" i="5"/>
  <c r="O14" i="2"/>
  <c r="E55" i="5" s="1"/>
  <c r="O18" i="2"/>
  <c r="O15" i="2"/>
  <c r="E14" i="5"/>
  <c r="O24" i="5"/>
  <c r="I57" i="5" l="1"/>
  <c r="I58" i="5"/>
  <c r="I55" i="5"/>
  <c r="H55" i="5" s="1"/>
  <c r="I59" i="5"/>
  <c r="I56" i="5"/>
  <c r="H56" i="5" l="1"/>
  <c r="H57" i="5" s="1"/>
  <c r="H58" i="5" s="1"/>
  <c r="H59" i="5" s="1"/>
  <c r="G61" i="5" s="1"/>
  <c r="G65" i="5" s="1"/>
  <c r="G63" i="5" l="1"/>
  <c r="G67" i="5" s="1"/>
  <c r="H71" i="5" s="1"/>
  <c r="H7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J15" authorId="0" shapeId="0" xr:uid="{245AA6D5-676E-ED41-9AD5-976B9EF7F7CC}">
      <text>
        <r>
          <rPr>
            <b/>
            <sz val="10"/>
            <color rgb="FF000000"/>
            <rFont val="Tahoma"/>
            <family val="2"/>
          </rPr>
          <t>893K de Beneficios Retenidos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M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Veces que se paga el Capital empleado</t>
        </r>
      </text>
    </comment>
    <comment ref="M37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Para no pagar mas por el foso que por el castillo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L2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Lo optimo es que sea superior a 2. Por debajo de 1 no es muy bueno</t>
        </r>
      </text>
    </comment>
    <comment ref="I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No se le resta el capex porque las empresas de ingeniería no tienen
porque no son intensivas en capital NORMALMENTE</t>
        </r>
      </text>
    </comment>
    <comment ref="C30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Downpayment/ Anticipos de proveedores</t>
        </r>
      </text>
    </comment>
    <comment ref="C33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 xml:space="preserve">Lo que vale la cartera de pedidos actual </t>
        </r>
      </text>
    </comment>
    <comment ref="C37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promedio de al menos 10 años</t>
        </r>
      </text>
    </comment>
  </commentList>
</comments>
</file>

<file path=xl/sharedStrings.xml><?xml version="1.0" encoding="utf-8"?>
<sst xmlns="http://schemas.openxmlformats.org/spreadsheetml/2006/main" count="212" uniqueCount="187">
  <si>
    <t>Consolidated Net Income</t>
  </si>
  <si>
    <t>EBITDA</t>
  </si>
  <si>
    <t>EBIT</t>
  </si>
  <si>
    <t>Price target  PER</t>
  </si>
  <si>
    <t>Price target  P/FCF</t>
  </si>
  <si>
    <t>Price target  EV/EBITDA</t>
  </si>
  <si>
    <t>Price target  EV/EBIT</t>
  </si>
  <si>
    <t>CAGR  by PER</t>
  </si>
  <si>
    <t>CAGR  by  P/FCF</t>
  </si>
  <si>
    <t>CAGR by EV/EBITDA</t>
  </si>
  <si>
    <t>CAGR  by EV/EBIT</t>
  </si>
  <si>
    <t>Market cap</t>
  </si>
  <si>
    <t>TAX RATE</t>
  </si>
  <si>
    <t>Stock options (si procede)</t>
  </si>
  <si>
    <t>3 YEARS</t>
  </si>
  <si>
    <t>5 YEARS</t>
  </si>
  <si>
    <t>TAX</t>
  </si>
  <si>
    <t>PER</t>
  </si>
  <si>
    <t>EV/EBITDA</t>
  </si>
  <si>
    <t>EV/EBIT</t>
  </si>
  <si>
    <t>P/FCF</t>
  </si>
  <si>
    <t>COGS</t>
  </si>
  <si>
    <t>Growth Rate:</t>
  </si>
  <si>
    <t>Perpetuidad</t>
  </si>
  <si>
    <t>Tasa de Descuento</t>
  </si>
  <si>
    <t>Acciones</t>
  </si>
  <si>
    <t>Debt Level:</t>
  </si>
  <si>
    <t>Year</t>
  </si>
  <si>
    <t>Flows</t>
  </si>
  <si>
    <t>Growth</t>
  </si>
  <si>
    <t>Initial Cash Flow:</t>
  </si>
  <si>
    <t>SUMA CF 5 AÑOS</t>
  </si>
  <si>
    <t>ACCIONES</t>
  </si>
  <si>
    <t>AÑO TERMINAL</t>
  </si>
  <si>
    <t>VALOR INTRÍNSECO</t>
  </si>
  <si>
    <t>TOTAL CF</t>
  </si>
  <si>
    <t>EXCESO CAJA</t>
  </si>
  <si>
    <t>VALOR TERMINAL</t>
  </si>
  <si>
    <t>FINANCIAL LEVERAGE</t>
  </si>
  <si>
    <t>INVENTARIO</t>
  </si>
  <si>
    <t>RECEIVABLES</t>
  </si>
  <si>
    <t>CAMBIOS EN WC</t>
  </si>
  <si>
    <t>REVENUE</t>
  </si>
  <si>
    <t>AMORT&amp;DEPR</t>
  </si>
  <si>
    <t>EBIT margin %</t>
  </si>
  <si>
    <t>MINORITY INTEREST</t>
  </si>
  <si>
    <t>NET INCOME</t>
  </si>
  <si>
    <t>EBITDA margin %</t>
  </si>
  <si>
    <t>PRETAX INCOME</t>
  </si>
  <si>
    <t>INTEREST INCOME (net)</t>
  </si>
  <si>
    <t>INCOME TAXES</t>
  </si>
  <si>
    <t>Tax rate</t>
  </si>
  <si>
    <t>Net margin %</t>
  </si>
  <si>
    <t>EPS</t>
  </si>
  <si>
    <t>Gross Margin %</t>
  </si>
  <si>
    <t>FULLY DILUTED SHARES</t>
  </si>
  <si>
    <t>PAYABLES (pr)</t>
  </si>
  <si>
    <t>Payable period</t>
  </si>
  <si>
    <t>receivable turnover</t>
  </si>
  <si>
    <t xml:space="preserve">Valuation  </t>
  </si>
  <si>
    <t>EBIT growth %</t>
  </si>
  <si>
    <t>Sales Growth %</t>
  </si>
  <si>
    <r>
      <rPr>
        <b/>
        <sz val="12"/>
        <color theme="1"/>
        <rFont val="Calibri"/>
        <family val="2"/>
        <scheme val="minor"/>
      </rPr>
      <t>ROE</t>
    </r>
    <r>
      <rPr>
        <sz val="12"/>
        <color theme="1"/>
        <rFont val="Calibri"/>
        <family val="2"/>
        <scheme val="minor"/>
      </rPr>
      <t xml:space="preserve"> ( net income / equity )</t>
    </r>
  </si>
  <si>
    <r>
      <rPr>
        <b/>
        <sz val="12"/>
        <color theme="1"/>
        <rFont val="Calibri"/>
        <family val="2"/>
        <scheme val="minor"/>
      </rPr>
      <t xml:space="preserve">ROCE </t>
    </r>
    <r>
      <rPr>
        <sz val="12"/>
        <color theme="1"/>
        <rFont val="Calibri"/>
        <family val="2"/>
        <scheme val="minor"/>
      </rPr>
      <t>(EBIT / Capital empleado)</t>
    </r>
  </si>
  <si>
    <t>Rotación de inventario</t>
  </si>
  <si>
    <t>PROYECTAR MÚLTIPLOS</t>
  </si>
  <si>
    <t>Nº tiendas</t>
  </si>
  <si>
    <t>Ventas/nº tiendas</t>
  </si>
  <si>
    <t>Δ Ventas / nº tiendas</t>
  </si>
  <si>
    <t>Same Store Sales</t>
  </si>
  <si>
    <t>Cash and cash equivalents</t>
  </si>
  <si>
    <t>Equity</t>
  </si>
  <si>
    <t>GROWTH</t>
  </si>
  <si>
    <t>VALORAR POR EV/SALES</t>
  </si>
  <si>
    <t>Multiple EV/Sales</t>
  </si>
  <si>
    <t>Price Target EV/SALES</t>
  </si>
  <si>
    <t>EV/Sales</t>
  </si>
  <si>
    <t>EMPRESA</t>
  </si>
  <si>
    <t>RATIOS</t>
  </si>
  <si>
    <t>FCF ajustando WC</t>
  </si>
  <si>
    <t>CASH CONVERSION CYCLE</t>
  </si>
  <si>
    <t>ROE PROMEDIO</t>
  </si>
  <si>
    <t>ROCE PROMEDIO</t>
  </si>
  <si>
    <t>Margen EBIT Promedio</t>
  </si>
  <si>
    <t>Net Margin Promedio</t>
  </si>
  <si>
    <t>g</t>
  </si>
  <si>
    <t>Revenues</t>
  </si>
  <si>
    <t>Order Intake</t>
  </si>
  <si>
    <t>Backlog</t>
  </si>
  <si>
    <t>Amort&amp;Depr</t>
  </si>
  <si>
    <t>EBIT Margin%</t>
  </si>
  <si>
    <t>Interest Income</t>
  </si>
  <si>
    <t>Tax</t>
  </si>
  <si>
    <t>Net Income</t>
  </si>
  <si>
    <t>Fully Diluted Shares</t>
  </si>
  <si>
    <t>Assumed EBIT Margin</t>
  </si>
  <si>
    <t>EBIT generate</t>
  </si>
  <si>
    <t>tax assumed</t>
  </si>
  <si>
    <t>cash net generated</t>
  </si>
  <si>
    <t>net cash</t>
  </si>
  <si>
    <t>prepayments</t>
  </si>
  <si>
    <t>net cash - prepay</t>
  </si>
  <si>
    <t>% of share price</t>
  </si>
  <si>
    <t>DCF INVERSO</t>
  </si>
  <si>
    <t>Order Intake a perpetuidad</t>
  </si>
  <si>
    <t>WACC</t>
  </si>
  <si>
    <t>EBIT generated</t>
  </si>
  <si>
    <t>NOPAT</t>
  </si>
  <si>
    <t>net cash+backlog cash</t>
  </si>
  <si>
    <t>Market Cap Objetivo</t>
  </si>
  <si>
    <t>Per Share</t>
  </si>
  <si>
    <t>Discount to perpetuity</t>
  </si>
  <si>
    <t>precio por accion</t>
  </si>
  <si>
    <t>market cap</t>
  </si>
  <si>
    <t>Valor Residual</t>
  </si>
  <si>
    <t>PROMEDIO</t>
  </si>
  <si>
    <t>Tax rate %</t>
  </si>
  <si>
    <t>PRETAX</t>
  </si>
  <si>
    <t>debt</t>
  </si>
  <si>
    <t>Enterprise Value</t>
  </si>
  <si>
    <t>EUROPE</t>
  </si>
  <si>
    <t>LATAM</t>
  </si>
  <si>
    <t>MIDDLE EAST</t>
  </si>
  <si>
    <t>RoW</t>
  </si>
  <si>
    <t>%</t>
  </si>
  <si>
    <t>Spain</t>
  </si>
  <si>
    <t>BOOK TO BILL RATIO</t>
  </si>
  <si>
    <t>FORWARD ORDER BOOK</t>
  </si>
  <si>
    <t>Upside/Downside</t>
  </si>
  <si>
    <t>VENTAS POR REGION</t>
  </si>
  <si>
    <t>EMEA</t>
  </si>
  <si>
    <t>APAC</t>
  </si>
  <si>
    <t>NA</t>
  </si>
  <si>
    <t>MKT CAP/CAP INV.</t>
  </si>
  <si>
    <t>ROCE</t>
  </si>
  <si>
    <t>Net debt/FCF</t>
  </si>
  <si>
    <t>Activos Corrientes</t>
  </si>
  <si>
    <t>Pasivos Corrientes</t>
  </si>
  <si>
    <t>FCF Yield</t>
  </si>
  <si>
    <t>change %</t>
  </si>
  <si>
    <t xml:space="preserve">Goodwill </t>
  </si>
  <si>
    <t>ROCE A LA INVERSIÓN</t>
  </si>
  <si>
    <t>ROIIC (5y)</t>
  </si>
  <si>
    <t>Deuda total (Long term+Short term)</t>
  </si>
  <si>
    <t>Capital empleado con goodwill</t>
  </si>
  <si>
    <t>Capital empleado sin goodwill</t>
  </si>
  <si>
    <t xml:space="preserve">Activos </t>
  </si>
  <si>
    <t>Inventario</t>
  </si>
  <si>
    <t>Receivable</t>
  </si>
  <si>
    <t xml:space="preserve">Pasivos   </t>
  </si>
  <si>
    <t>Retornos</t>
  </si>
  <si>
    <t>Payable</t>
  </si>
  <si>
    <t>Intereses Planes de Pensiones (si hay)</t>
  </si>
  <si>
    <t>Free cash flow</t>
  </si>
  <si>
    <t>Free cash flow por accion</t>
  </si>
  <si>
    <t>Deuda neta/Ebitda</t>
  </si>
  <si>
    <t xml:space="preserve"> P/FCF</t>
  </si>
  <si>
    <t xml:space="preserve"> EV/EBITDA</t>
  </si>
  <si>
    <t xml:space="preserve"> EV/EBIT</t>
  </si>
  <si>
    <t>CapEx de mantenimiento o depreciación</t>
  </si>
  <si>
    <t>CAPEX Mantenimiento / Sales</t>
  </si>
  <si>
    <t>CAPEX Mant+Inversión / Sales</t>
  </si>
  <si>
    <t xml:space="preserve">Coste Adquisiciones </t>
  </si>
  <si>
    <t>CaPex de Mantenimiento/ FCF</t>
  </si>
  <si>
    <t>CaPex Mant + Inversion / FCF</t>
  </si>
  <si>
    <t>Net debt/EBITDA</t>
  </si>
  <si>
    <t>FINANCIAL METRICS</t>
  </si>
  <si>
    <t>ESTIMACIONES</t>
  </si>
  <si>
    <t>EBIT MARGEN</t>
  </si>
  <si>
    <r>
      <t xml:space="preserve">SAME STORE SALES </t>
    </r>
    <r>
      <rPr>
        <b/>
        <i/>
        <sz val="12"/>
        <color theme="1"/>
        <rFont val="Calibri"/>
        <family val="2"/>
        <scheme val="minor"/>
      </rPr>
      <t>*(Aplicable a Retails)</t>
    </r>
  </si>
  <si>
    <t>PER DE LAS ADQUISICIONES</t>
  </si>
  <si>
    <t>METODO VALORACIÓN: DESCUENTO DE FLUJOS DE CAJA</t>
  </si>
  <si>
    <t>METODO VALORACIÓN: MULTIPLOS</t>
  </si>
  <si>
    <t>PRECIO ACCIÓN</t>
  </si>
  <si>
    <t xml:space="preserve">Liquidity ratio </t>
  </si>
  <si>
    <t>TRADE WORKING CAPITAL</t>
  </si>
  <si>
    <t>% EBITDA to FCF</t>
  </si>
  <si>
    <t>Free cash flow (- Adquisiciones)</t>
  </si>
  <si>
    <t>Free cash flow por accion (- Adquisiciones)</t>
  </si>
  <si>
    <t>Metricas en el momento de la compra</t>
  </si>
  <si>
    <t>FCF Margin</t>
  </si>
  <si>
    <t>% FCF Yield</t>
  </si>
  <si>
    <t>% FCF Growht</t>
  </si>
  <si>
    <r>
      <rPr>
        <b/>
        <sz val="12"/>
        <color theme="1"/>
        <rFont val="Calibri"/>
        <family val="2"/>
        <scheme val="minor"/>
      </rPr>
      <t>ROCE sin goodwill</t>
    </r>
    <r>
      <rPr>
        <sz val="12"/>
        <color theme="1"/>
        <rFont val="Calibri"/>
        <family val="2"/>
        <scheme val="minor"/>
      </rPr>
      <t>( EBIT / Capital empleado)</t>
    </r>
  </si>
  <si>
    <t>TOTAL COST/INVESTMENT</t>
  </si>
  <si>
    <t>CODE</t>
  </si>
  <si>
    <t>PP&amp;E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</si>
</sst>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164" formatCode="0.0"/>
    <numFmt numFmtId="165" formatCode="0.0%"/>
    <numFmt numFmtId="166" formatCode="&quot;$&quot;#,##0_);[Red]\(&quot;$&quot;#,##0\)"/>
    <numFmt numFmtId="167" formatCode="#,##0.000_);[Red]\(#,##0.000\)"/>
    <numFmt numFmtId="168" formatCode="#,##0;[Red]#,##0"/>
    <numFmt numFmtId="169" formatCode="#,##0.0_ ;[Red]\-#,##0.0\ "/>
    <numFmt numFmtId="170" formatCode="0.0_ ;[Red]\-0.0\ "/>
    <numFmt numFmtId="171" formatCode="0.00_ ;[Red]\-0.00\ "/>
    <numFmt numFmtId="172" formatCode="0.000"/>
    <numFmt numFmtId="173" formatCode="_-[$$-409]* #,##0.00_ ;_-[$$-409]* \-#,##0.00\ ;_-[$$-409]* &quot;-&quot;??_ ;_-@_ "/>
    <numFmt numFmtId="174" formatCode="0.0000_ ;[Red]\-0.0000\ "/>
    <numFmt numFmtId="175" formatCode="_-[$$-409]* #,##0.000_ ;_-[$$-409]* \-#,##0.000\ ;_-[$$-409]* &quot;-&quot;??_ ;_-@_ "/>
    <numFmt numFmtId="176" formatCode="#,##0.000;[Red]#,##0.000"/>
    <numFmt numFmtId="177" formatCode="0.000_ ;[Red]\-0.000\ "/>
    <numFmt numFmtId="178" formatCode="#,##0.0000_ ;[Red]\-#,##0.0000\ "/>
    <numFmt numFmtId="179" formatCode="0.00000"/>
  </numFmts>
  <fonts count="4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17365C"/>
      <name val="Trebuchet MS"/>
      <family val="2"/>
    </font>
    <font>
      <b/>
      <sz val="14"/>
      <color theme="3" tint="0.59999389629810485"/>
      <name val="Trebuchet MS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17365C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17365C"/>
      <name val="Trebuchet MS"/>
      <family val="2"/>
    </font>
    <font>
      <sz val="12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2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0"/>
      <color rgb="FF000000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medium">
        <color indexed="64"/>
      </bottom>
      <diagonal/>
    </border>
    <border>
      <left/>
      <right/>
      <top style="thin">
        <color theme="4" tint="0.79998168889431442"/>
      </top>
      <bottom/>
      <diagonal/>
    </border>
    <border>
      <left style="medium">
        <color auto="1"/>
      </left>
      <right/>
      <top style="thin">
        <color theme="4" tint="0.79998168889431442"/>
      </top>
      <bottom/>
      <diagonal/>
    </border>
    <border>
      <left style="medium">
        <color theme="4" tint="0.79998168889431442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indexed="64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medium">
        <color indexed="64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 style="medium">
        <color indexed="64"/>
      </left>
      <right style="medium">
        <color indexed="64"/>
      </right>
      <top/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medium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auto="1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4" tint="0.79998168889431442"/>
      </left>
      <right/>
      <top style="thin">
        <color indexed="64"/>
      </top>
      <bottom/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4" tint="0.59996337778862885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medium">
        <color indexed="64"/>
      </right>
      <top/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724">
    <xf numFmtId="0" fontId="0" fillId="0" borderId="0" xfId="0"/>
    <xf numFmtId="0" fontId="0" fillId="4" borderId="0" xfId="0" applyFill="1"/>
    <xf numFmtId="0" fontId="0" fillId="4" borderId="0" xfId="0" applyFill="1" applyBorder="1"/>
    <xf numFmtId="0" fontId="0" fillId="4" borderId="0" xfId="0" applyFill="1" applyBorder="1" applyAlignment="1">
      <alignment horizontal="center" wrapText="1"/>
    </xf>
    <xf numFmtId="0" fontId="16" fillId="4" borderId="0" xfId="0" applyFont="1" applyFill="1" applyBorder="1"/>
    <xf numFmtId="0" fontId="0" fillId="4" borderId="0" xfId="0" applyFill="1" applyAlignment="1">
      <alignment vertical="center"/>
    </xf>
    <xf numFmtId="2" fontId="13" fillId="0" borderId="0" xfId="0" applyNumberFormat="1" applyFont="1" applyFill="1" applyBorder="1" applyAlignment="1" applyProtection="1">
      <alignment vertical="center"/>
    </xf>
    <xf numFmtId="0" fontId="18" fillId="4" borderId="0" xfId="0" applyFont="1" applyFill="1"/>
    <xf numFmtId="0" fontId="18" fillId="4" borderId="0" xfId="0" applyFont="1" applyFill="1" applyBorder="1"/>
    <xf numFmtId="0" fontId="18" fillId="0" borderId="0" xfId="0" applyFont="1"/>
    <xf numFmtId="9" fontId="0" fillId="4" borderId="0" xfId="0" applyNumberFormat="1" applyFill="1" applyAlignment="1">
      <alignment horizontal="left"/>
    </xf>
    <xf numFmtId="0" fontId="0" fillId="0" borderId="0" xfId="0" applyFont="1"/>
    <xf numFmtId="49" fontId="24" fillId="0" borderId="0" xfId="0" applyNumberFormat="1" applyFont="1" applyAlignment="1">
      <alignment horizontal="center"/>
    </xf>
    <xf numFmtId="0" fontId="24" fillId="0" borderId="0" xfId="0" applyFont="1" applyBorder="1" applyAlignment="1">
      <alignment horizontal="center"/>
    </xf>
    <xf numFmtId="38" fontId="24" fillId="0" borderId="0" xfId="0" applyNumberFormat="1" applyFont="1" applyBorder="1" applyAlignment="1">
      <alignment horizontal="center"/>
    </xf>
    <xf numFmtId="9" fontId="24" fillId="0" borderId="0" xfId="0" applyNumberFormat="1" applyFont="1" applyBorder="1" applyAlignment="1">
      <alignment horizontal="center"/>
    </xf>
    <xf numFmtId="166" fontId="24" fillId="0" borderId="0" xfId="0" applyNumberFormat="1" applyFont="1" applyBorder="1" applyAlignment="1">
      <alignment horizontal="center"/>
    </xf>
    <xf numFmtId="167" fontId="24" fillId="0" borderId="0" xfId="0" applyNumberFormat="1" applyFont="1" applyBorder="1" applyAlignment="1">
      <alignment horizontal="center"/>
    </xf>
    <xf numFmtId="0" fontId="20" fillId="0" borderId="0" xfId="0" applyFont="1" applyAlignment="1">
      <alignment horizontal="right"/>
    </xf>
    <xf numFmtId="9" fontId="0" fillId="0" borderId="0" xfId="0" applyNumberFormat="1" applyFont="1" applyBorder="1" applyAlignment="1">
      <alignment horizontal="center"/>
    </xf>
    <xf numFmtId="168" fontId="24" fillId="0" borderId="2" xfId="0" applyNumberFormat="1" applyFont="1" applyBorder="1" applyAlignment="1">
      <alignment horizontal="center"/>
    </xf>
    <xf numFmtId="2" fontId="24" fillId="0" borderId="0" xfId="0" applyNumberFormat="1" applyFont="1" applyAlignment="1">
      <alignment horizontal="center"/>
    </xf>
    <xf numFmtId="2" fontId="24" fillId="0" borderId="0" xfId="0" applyNumberFormat="1" applyFont="1"/>
    <xf numFmtId="38" fontId="24" fillId="6" borderId="0" xfId="0" applyNumberFormat="1" applyFont="1" applyFill="1" applyBorder="1" applyAlignment="1">
      <alignment horizontal="center"/>
    </xf>
    <xf numFmtId="0" fontId="24" fillId="6" borderId="3" xfId="0" applyFont="1" applyFill="1" applyBorder="1" applyAlignment="1">
      <alignment horizontal="center"/>
    </xf>
    <xf numFmtId="9" fontId="24" fillId="6" borderId="8" xfId="0" applyNumberFormat="1" applyFont="1" applyFill="1" applyBorder="1" applyAlignment="1">
      <alignment horizontal="center"/>
    </xf>
    <xf numFmtId="0" fontId="24" fillId="6" borderId="12" xfId="0" applyFont="1" applyFill="1" applyBorder="1" applyAlignment="1">
      <alignment horizontal="center"/>
    </xf>
    <xf numFmtId="38" fontId="24" fillId="6" borderId="4" xfId="0" applyNumberFormat="1" applyFont="1" applyFill="1" applyBorder="1" applyAlignment="1">
      <alignment horizontal="center"/>
    </xf>
    <xf numFmtId="9" fontId="24" fillId="6" borderId="13" xfId="0" applyNumberFormat="1" applyFont="1" applyFill="1" applyBorder="1" applyAlignment="1">
      <alignment horizontal="center"/>
    </xf>
    <xf numFmtId="0" fontId="0" fillId="0" borderId="0" xfId="0" applyBorder="1"/>
    <xf numFmtId="2" fontId="0" fillId="0" borderId="0" xfId="0" applyNumberFormat="1" applyFont="1"/>
    <xf numFmtId="38" fontId="0" fillId="0" borderId="1" xfId="0" applyNumberFormat="1" applyFont="1" applyBorder="1" applyAlignment="1">
      <alignment horizontal="center"/>
    </xf>
    <xf numFmtId="0" fontId="0" fillId="6" borderId="10" xfId="0" applyFill="1" applyBorder="1"/>
    <xf numFmtId="2" fontId="24" fillId="6" borderId="11" xfId="0" applyNumberFormat="1" applyFont="1" applyFill="1" applyBorder="1" applyAlignment="1">
      <alignment horizontal="center"/>
    </xf>
    <xf numFmtId="2" fontId="24" fillId="6" borderId="0" xfId="0" applyNumberFormat="1" applyFont="1" applyFill="1" applyBorder="1"/>
    <xf numFmtId="2" fontId="24" fillId="6" borderId="8" xfId="0" applyNumberFormat="1" applyFont="1" applyFill="1" applyBorder="1"/>
    <xf numFmtId="2" fontId="24" fillId="6" borderId="8" xfId="0" applyNumberFormat="1" applyFont="1" applyFill="1" applyBorder="1" applyAlignment="1">
      <alignment horizontal="center"/>
    </xf>
    <xf numFmtId="2" fontId="24" fillId="6" borderId="4" xfId="0" applyNumberFormat="1" applyFont="1" applyFill="1" applyBorder="1"/>
    <xf numFmtId="2" fontId="24" fillId="6" borderId="13" xfId="0" applyNumberFormat="1" applyFont="1" applyFill="1" applyBorder="1" applyAlignment="1">
      <alignment horizontal="center"/>
    </xf>
    <xf numFmtId="0" fontId="12" fillId="4" borderId="0" xfId="0" applyFont="1" applyFill="1" applyAlignment="1">
      <alignment horizontal="left" vertical="center"/>
    </xf>
    <xf numFmtId="2" fontId="14" fillId="0" borderId="0" xfId="0" applyNumberFormat="1" applyFont="1" applyFill="1" applyBorder="1" applyAlignment="1" applyProtection="1">
      <alignment vertical="center"/>
    </xf>
    <xf numFmtId="0" fontId="18" fillId="0" borderId="3" xfId="0" applyFont="1" applyBorder="1"/>
    <xf numFmtId="2" fontId="30" fillId="0" borderId="0" xfId="0" applyNumberFormat="1" applyFont="1" applyFill="1" applyBorder="1" applyAlignment="1" applyProtection="1">
      <alignment vertical="center"/>
    </xf>
    <xf numFmtId="0" fontId="18" fillId="4" borderId="0" xfId="0" applyFont="1" applyFill="1" applyBorder="1" applyAlignment="1">
      <alignment horizontal="center" wrapText="1"/>
    </xf>
    <xf numFmtId="164" fontId="18" fillId="4" borderId="0" xfId="0" applyNumberFormat="1" applyFont="1" applyFill="1" applyBorder="1"/>
    <xf numFmtId="0" fontId="18" fillId="0" borderId="3" xfId="0" applyFont="1" applyBorder="1" applyProtection="1"/>
    <xf numFmtId="0" fontId="18" fillId="0" borderId="0" xfId="0" applyFont="1" applyBorder="1" applyProtection="1"/>
    <xf numFmtId="0" fontId="16" fillId="0" borderId="12" xfId="0" applyFont="1" applyBorder="1" applyProtection="1"/>
    <xf numFmtId="0" fontId="0" fillId="0" borderId="0" xfId="0" applyProtection="1"/>
    <xf numFmtId="0" fontId="16" fillId="4" borderId="9" xfId="0" applyFont="1" applyFill="1" applyBorder="1" applyAlignment="1" applyProtection="1">
      <alignment horizontal="left" vertical="center"/>
    </xf>
    <xf numFmtId="1" fontId="16" fillId="4" borderId="9" xfId="0" applyNumberFormat="1" applyFont="1" applyFill="1" applyBorder="1" applyAlignment="1" applyProtection="1">
      <alignment horizontal="center" vertical="center" wrapText="1"/>
    </xf>
    <xf numFmtId="1" fontId="16" fillId="4" borderId="10" xfId="0" applyNumberFormat="1" applyFont="1" applyFill="1" applyBorder="1" applyAlignment="1" applyProtection="1">
      <alignment horizontal="center" vertical="center" wrapText="1"/>
    </xf>
    <xf numFmtId="164" fontId="18" fillId="4" borderId="5" xfId="0" applyNumberFormat="1" applyFont="1" applyFill="1" applyBorder="1" applyAlignment="1" applyProtection="1">
      <alignment horizontal="center" vertical="center" wrapText="1"/>
    </xf>
    <xf numFmtId="164" fontId="18" fillId="4" borderId="0" xfId="0" applyNumberFormat="1" applyFont="1" applyFill="1" applyBorder="1" applyAlignment="1" applyProtection="1">
      <alignment horizontal="center" vertical="center" wrapText="1"/>
    </xf>
    <xf numFmtId="0" fontId="16" fillId="4" borderId="0" xfId="0" applyFont="1" applyFill="1" applyProtection="1"/>
    <xf numFmtId="0" fontId="16" fillId="0" borderId="18" xfId="0" applyFont="1" applyBorder="1" applyAlignment="1" applyProtection="1">
      <alignment vertical="center"/>
    </xf>
    <xf numFmtId="0" fontId="18" fillId="0" borderId="0" xfId="0" applyFont="1" applyProtection="1"/>
    <xf numFmtId="0" fontId="18" fillId="4" borderId="0" xfId="0" applyFont="1" applyFill="1" applyBorder="1" applyAlignment="1" applyProtection="1">
      <alignment horizontal="center" wrapText="1"/>
    </xf>
    <xf numFmtId="0" fontId="18" fillId="4" borderId="0" xfId="0" applyFont="1" applyFill="1" applyBorder="1" applyAlignment="1" applyProtection="1">
      <alignment horizontal="center" vertical="center" wrapText="1"/>
    </xf>
    <xf numFmtId="0" fontId="18" fillId="4" borderId="0" xfId="0" applyFont="1" applyFill="1" applyProtection="1"/>
    <xf numFmtId="0" fontId="31" fillId="4" borderId="0" xfId="0" applyFont="1" applyFill="1" applyBorder="1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22" fillId="2" borderId="9" xfId="0" applyFont="1" applyFill="1" applyBorder="1" applyAlignment="1" applyProtection="1">
      <alignment horizontal="center"/>
    </xf>
    <xf numFmtId="0" fontId="22" fillId="2" borderId="10" xfId="0" applyFont="1" applyFill="1" applyBorder="1" applyAlignment="1" applyProtection="1">
      <alignment horizontal="center"/>
    </xf>
    <xf numFmtId="0" fontId="18" fillId="4" borderId="0" xfId="0" applyFont="1" applyFill="1" applyBorder="1" applyProtection="1"/>
    <xf numFmtId="2" fontId="21" fillId="0" borderId="0" xfId="0" applyNumberFormat="1" applyFont="1" applyFill="1" applyBorder="1" applyAlignment="1" applyProtection="1">
      <alignment vertical="center"/>
    </xf>
    <xf numFmtId="0" fontId="0" fillId="4" borderId="0" xfId="0" applyFill="1" applyBorder="1" applyAlignment="1" applyProtection="1">
      <alignment horizontal="center" wrapText="1"/>
    </xf>
    <xf numFmtId="0" fontId="16" fillId="4" borderId="0" xfId="0" applyFont="1" applyFill="1" applyBorder="1" applyProtection="1"/>
    <xf numFmtId="0" fontId="0" fillId="4" borderId="0" xfId="0" applyFill="1" applyBorder="1" applyProtection="1"/>
    <xf numFmtId="0" fontId="0" fillId="4" borderId="0" xfId="0" applyFill="1" applyProtection="1"/>
    <xf numFmtId="0" fontId="31" fillId="4" borderId="0" xfId="0" applyFont="1" applyFill="1" applyProtection="1">
      <protection locked="0"/>
    </xf>
    <xf numFmtId="0" fontId="16" fillId="0" borderId="0" xfId="0" applyFont="1" applyProtection="1"/>
    <xf numFmtId="9" fontId="0" fillId="0" borderId="1" xfId="0" applyNumberFormat="1" applyFont="1" applyBorder="1" applyAlignment="1" applyProtection="1">
      <alignment horizontal="center"/>
      <protection locked="0"/>
    </xf>
    <xf numFmtId="2" fontId="18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27" fillId="0" borderId="0" xfId="0" applyFont="1" applyProtection="1"/>
    <xf numFmtId="0" fontId="0" fillId="0" borderId="23" xfId="0" applyBorder="1" applyAlignment="1" applyProtection="1">
      <alignment horizontal="left"/>
    </xf>
    <xf numFmtId="0" fontId="0" fillId="0" borderId="18" xfId="0" applyBorder="1" applyAlignment="1" applyProtection="1">
      <alignment horizontal="left"/>
    </xf>
    <xf numFmtId="170" fontId="0" fillId="0" borderId="18" xfId="0" applyNumberFormat="1" applyBorder="1" applyProtection="1"/>
    <xf numFmtId="170" fontId="0" fillId="0" borderId="0" xfId="0" applyNumberFormat="1" applyBorder="1" applyProtection="1"/>
    <xf numFmtId="170" fontId="0" fillId="0" borderId="6" xfId="0" applyNumberFormat="1" applyBorder="1" applyProtection="1"/>
    <xf numFmtId="0" fontId="18" fillId="0" borderId="9" xfId="0" applyFont="1" applyBorder="1"/>
    <xf numFmtId="0" fontId="18" fillId="0" borderId="12" xfId="0" applyFont="1" applyBorder="1"/>
    <xf numFmtId="0" fontId="18" fillId="0" borderId="0" xfId="0" applyFont="1" applyBorder="1"/>
    <xf numFmtId="0" fontId="18" fillId="0" borderId="48" xfId="0" applyFont="1" applyBorder="1"/>
    <xf numFmtId="0" fontId="18" fillId="0" borderId="49" xfId="0" applyFont="1" applyBorder="1"/>
    <xf numFmtId="0" fontId="18" fillId="0" borderId="2" xfId="0" applyFont="1" applyBorder="1"/>
    <xf numFmtId="0" fontId="22" fillId="3" borderId="10" xfId="0" applyFont="1" applyFill="1" applyBorder="1" applyAlignment="1" applyProtection="1">
      <alignment horizontal="center"/>
    </xf>
    <xf numFmtId="0" fontId="18" fillId="0" borderId="8" xfId="0" applyFont="1" applyBorder="1"/>
    <xf numFmtId="2" fontId="16" fillId="11" borderId="50" xfId="0" applyNumberFormat="1" applyFont="1" applyFill="1" applyBorder="1" applyProtection="1">
      <protection locked="0"/>
    </xf>
    <xf numFmtId="2" fontId="16" fillId="11" borderId="51" xfId="0" applyNumberFormat="1" applyFont="1" applyFill="1" applyBorder="1" applyProtection="1">
      <protection locked="0"/>
    </xf>
    <xf numFmtId="2" fontId="16" fillId="7" borderId="51" xfId="0" applyNumberFormat="1" applyFont="1" applyFill="1" applyBorder="1" applyProtection="1">
      <protection locked="0"/>
    </xf>
    <xf numFmtId="0" fontId="18" fillId="7" borderId="1" xfId="0" applyFont="1" applyFill="1" applyBorder="1" applyProtection="1">
      <protection locked="0"/>
    </xf>
    <xf numFmtId="2" fontId="18" fillId="0" borderId="0" xfId="0" applyNumberFormat="1" applyFont="1" applyBorder="1"/>
    <xf numFmtId="2" fontId="18" fillId="0" borderId="3" xfId="0" applyNumberFormat="1" applyFont="1" applyBorder="1"/>
    <xf numFmtId="0" fontId="16" fillId="0" borderId="9" xfId="0" applyFont="1" applyBorder="1"/>
    <xf numFmtId="0" fontId="22" fillId="2" borderId="48" xfId="0" applyFont="1" applyFill="1" applyBorder="1" applyAlignment="1" applyProtection="1">
      <alignment horizontal="center"/>
    </xf>
    <xf numFmtId="164" fontId="18" fillId="0" borderId="49" xfId="0" applyNumberFormat="1" applyFont="1" applyBorder="1"/>
    <xf numFmtId="0" fontId="16" fillId="4" borderId="1" xfId="0" applyFont="1" applyFill="1" applyBorder="1" applyAlignment="1">
      <alignment vertical="center"/>
    </xf>
    <xf numFmtId="0" fontId="0" fillId="0" borderId="15" xfId="0" applyBorder="1"/>
    <xf numFmtId="0" fontId="0" fillId="0" borderId="16" xfId="0" applyBorder="1"/>
    <xf numFmtId="2" fontId="22" fillId="0" borderId="9" xfId="0" applyNumberFormat="1" applyFont="1" applyFill="1" applyBorder="1" applyAlignment="1" applyProtection="1">
      <alignment vertical="center"/>
    </xf>
    <xf numFmtId="0" fontId="0" fillId="0" borderId="0" xfId="0"/>
    <xf numFmtId="0" fontId="16" fillId="4" borderId="0" xfId="0" applyFont="1" applyFill="1" applyBorder="1" applyAlignment="1" applyProtection="1">
      <alignment horizontal="left" vertical="center"/>
    </xf>
    <xf numFmtId="0" fontId="16" fillId="4" borderId="0" xfId="0" applyFont="1" applyFill="1" applyBorder="1" applyAlignment="1" applyProtection="1">
      <alignment vertical="center"/>
    </xf>
    <xf numFmtId="0" fontId="18" fillId="4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vertical="center"/>
    </xf>
    <xf numFmtId="0" fontId="36" fillId="4" borderId="0" xfId="0" applyFont="1" applyFill="1" applyProtection="1">
      <protection locked="0"/>
    </xf>
    <xf numFmtId="2" fontId="16" fillId="2" borderId="1" xfId="1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14" xfId="0" applyBorder="1" applyProtection="1"/>
    <xf numFmtId="0" fontId="0" fillId="0" borderId="15" xfId="0" applyBorder="1" applyProtection="1"/>
    <xf numFmtId="0" fontId="0" fillId="0" borderId="8" xfId="0" applyBorder="1" applyProtection="1"/>
    <xf numFmtId="0" fontId="22" fillId="2" borderId="11" xfId="0" applyFont="1" applyFill="1" applyBorder="1" applyAlignment="1" applyProtection="1">
      <alignment horizontal="center"/>
    </xf>
    <xf numFmtId="0" fontId="18" fillId="0" borderId="1" xfId="0" applyFont="1" applyBorder="1"/>
    <xf numFmtId="2" fontId="18" fillId="0" borderId="14" xfId="0" applyNumberFormat="1" applyFont="1" applyBorder="1"/>
    <xf numFmtId="2" fontId="18" fillId="0" borderId="15" xfId="0" applyNumberFormat="1" applyFont="1" applyBorder="1"/>
    <xf numFmtId="2" fontId="18" fillId="0" borderId="16" xfId="0" applyNumberFormat="1" applyFont="1" applyBorder="1"/>
    <xf numFmtId="0" fontId="16" fillId="11" borderId="55" xfId="0" applyFont="1" applyFill="1" applyBorder="1" applyProtection="1"/>
    <xf numFmtId="0" fontId="16" fillId="11" borderId="48" xfId="0" applyFont="1" applyFill="1" applyBorder="1" applyProtection="1"/>
    <xf numFmtId="0" fontId="16" fillId="0" borderId="49" xfId="0" applyFont="1" applyBorder="1"/>
    <xf numFmtId="2" fontId="16" fillId="7" borderId="56" xfId="0" applyNumberFormat="1" applyFont="1" applyFill="1" applyBorder="1" applyProtection="1">
      <protection locked="0"/>
    </xf>
    <xf numFmtId="2" fontId="18" fillId="0" borderId="12" xfId="0" applyNumberFormat="1" applyFont="1" applyBorder="1" applyProtection="1">
      <protection locked="0"/>
    </xf>
    <xf numFmtId="2" fontId="18" fillId="0" borderId="13" xfId="0" applyNumberFormat="1" applyFont="1" applyBorder="1" applyProtection="1">
      <protection locked="0"/>
    </xf>
    <xf numFmtId="10" fontId="18" fillId="0" borderId="1" xfId="0" applyNumberFormat="1" applyFont="1" applyBorder="1"/>
    <xf numFmtId="0" fontId="0" fillId="0" borderId="0" xfId="0"/>
    <xf numFmtId="0" fontId="16" fillId="0" borderId="24" xfId="0" applyFont="1" applyBorder="1" applyProtection="1"/>
    <xf numFmtId="0" fontId="16" fillId="0" borderId="17" xfId="0" applyFont="1" applyBorder="1" applyProtection="1"/>
    <xf numFmtId="170" fontId="18" fillId="0" borderId="5" xfId="0" applyNumberFormat="1" applyFont="1" applyBorder="1" applyProtection="1"/>
    <xf numFmtId="170" fontId="18" fillId="0" borderId="7" xfId="0" applyNumberFormat="1" applyFont="1" applyBorder="1" applyAlignment="1" applyProtection="1">
      <alignment horizontal="center" vertical="center"/>
    </xf>
    <xf numFmtId="170" fontId="18" fillId="0" borderId="0" xfId="0" applyNumberFormat="1" applyFont="1" applyBorder="1" applyAlignment="1" applyProtection="1">
      <alignment horizontal="center" vertical="center"/>
    </xf>
    <xf numFmtId="170" fontId="18" fillId="0" borderId="6" xfId="0" applyNumberFormat="1" applyFont="1" applyBorder="1" applyAlignment="1" applyProtection="1">
      <alignment horizontal="center" vertical="center"/>
    </xf>
    <xf numFmtId="10" fontId="18" fillId="0" borderId="0" xfId="0" applyNumberFormat="1" applyFont="1" applyProtection="1"/>
    <xf numFmtId="10" fontId="31" fillId="4" borderId="0" xfId="0" applyNumberFormat="1" applyFont="1" applyFill="1" applyProtection="1"/>
    <xf numFmtId="165" fontId="36" fillId="0" borderId="0" xfId="0" applyNumberFormat="1" applyFont="1" applyProtection="1"/>
    <xf numFmtId="0" fontId="36" fillId="0" borderId="0" xfId="0" applyFont="1" applyProtection="1"/>
    <xf numFmtId="0" fontId="0" fillId="0" borderId="10" xfId="0" applyBorder="1"/>
    <xf numFmtId="0" fontId="0" fillId="0" borderId="48" xfId="0" applyBorder="1"/>
    <xf numFmtId="0" fontId="0" fillId="0" borderId="49" xfId="0" applyBorder="1"/>
    <xf numFmtId="0" fontId="0" fillId="0" borderId="2" xfId="0" applyBorder="1" applyAlignment="1">
      <alignment horizontal="right"/>
    </xf>
    <xf numFmtId="0" fontId="16" fillId="11" borderId="14" xfId="0" applyFont="1" applyFill="1" applyBorder="1" applyProtection="1"/>
    <xf numFmtId="2" fontId="16" fillId="11" borderId="58" xfId="0" applyNumberFormat="1" applyFont="1" applyFill="1" applyBorder="1" applyProtection="1">
      <protection locked="0"/>
    </xf>
    <xf numFmtId="2" fontId="16" fillId="11" borderId="59" xfId="0" applyNumberFormat="1" applyFont="1" applyFill="1" applyBorder="1" applyProtection="1">
      <protection locked="0"/>
    </xf>
    <xf numFmtId="2" fontId="16" fillId="7" borderId="59" xfId="0" applyNumberFormat="1" applyFont="1" applyFill="1" applyBorder="1" applyProtection="1">
      <protection locked="0"/>
    </xf>
    <xf numFmtId="2" fontId="16" fillId="7" borderId="60" xfId="0" applyNumberFormat="1" applyFont="1" applyFill="1" applyBorder="1" applyProtection="1">
      <protection locked="0"/>
    </xf>
    <xf numFmtId="2" fontId="16" fillId="11" borderId="35" xfId="0" applyNumberFormat="1" applyFont="1" applyFill="1" applyBorder="1" applyProtection="1">
      <protection locked="0"/>
    </xf>
    <xf numFmtId="2" fontId="16" fillId="11" borderId="36" xfId="0" applyNumberFormat="1" applyFont="1" applyFill="1" applyBorder="1" applyProtection="1">
      <protection locked="0"/>
    </xf>
    <xf numFmtId="2" fontId="16" fillId="7" borderId="36" xfId="0" applyNumberFormat="1" applyFont="1" applyFill="1" applyBorder="1" applyProtection="1">
      <protection locked="0"/>
    </xf>
    <xf numFmtId="0" fontId="16" fillId="0" borderId="49" xfId="0" applyFont="1" applyFill="1" applyBorder="1"/>
    <xf numFmtId="2" fontId="16" fillId="7" borderId="61" xfId="0" applyNumberFormat="1" applyFont="1" applyFill="1" applyBorder="1" applyProtection="1">
      <protection locked="0"/>
    </xf>
    <xf numFmtId="2" fontId="0" fillId="0" borderId="8" xfId="0" applyNumberFormat="1" applyBorder="1"/>
    <xf numFmtId="0" fontId="18" fillId="0" borderId="49" xfId="0" applyFont="1" applyFill="1" applyBorder="1" applyAlignment="1">
      <alignment horizontal="right"/>
    </xf>
    <xf numFmtId="2" fontId="18" fillId="0" borderId="1" xfId="0" applyNumberFormat="1" applyFont="1" applyBorder="1"/>
    <xf numFmtId="164" fontId="18" fillId="0" borderId="0" xfId="0" applyNumberFormat="1" applyFont="1"/>
    <xf numFmtId="164" fontId="18" fillId="0" borderId="1" xfId="0" applyNumberFormat="1" applyFont="1" applyBorder="1"/>
    <xf numFmtId="0" fontId="38" fillId="0" borderId="0" xfId="0" applyFont="1"/>
    <xf numFmtId="164" fontId="18" fillId="9" borderId="1" xfId="0" applyNumberFormat="1" applyFont="1" applyFill="1" applyBorder="1"/>
    <xf numFmtId="0" fontId="16" fillId="0" borderId="3" xfId="0" applyFont="1" applyBorder="1"/>
    <xf numFmtId="0" fontId="16" fillId="0" borderId="12" xfId="0" applyFont="1" applyBorder="1"/>
    <xf numFmtId="0" fontId="18" fillId="6" borderId="0" xfId="0" applyFont="1" applyFill="1" applyAlignment="1">
      <alignment horizontal="center"/>
    </xf>
    <xf numFmtId="0" fontId="18" fillId="13" borderId="48" xfId="0" applyFont="1" applyFill="1" applyBorder="1" applyProtection="1"/>
    <xf numFmtId="0" fontId="18" fillId="13" borderId="49" xfId="0" applyFont="1" applyFill="1" applyBorder="1" applyProtection="1"/>
    <xf numFmtId="0" fontId="18" fillId="13" borderId="2" xfId="0" applyFont="1" applyFill="1" applyBorder="1" applyProtection="1"/>
    <xf numFmtId="1" fontId="18" fillId="4" borderId="1" xfId="0" applyNumberFormat="1" applyFont="1" applyFill="1" applyBorder="1"/>
    <xf numFmtId="0" fontId="36" fillId="0" borderId="0" xfId="0" applyFont="1"/>
    <xf numFmtId="0" fontId="16" fillId="11" borderId="63" xfId="0" applyFont="1" applyFill="1" applyBorder="1" applyProtection="1"/>
    <xf numFmtId="0" fontId="0" fillId="0" borderId="49" xfId="0" applyBorder="1" applyAlignment="1">
      <alignment horizontal="right"/>
    </xf>
    <xf numFmtId="0" fontId="16" fillId="0" borderId="1" xfId="0" applyFont="1" applyFill="1" applyBorder="1"/>
    <xf numFmtId="9" fontId="18" fillId="13" borderId="36" xfId="0" applyNumberFormat="1" applyFont="1" applyFill="1" applyBorder="1" applyProtection="1">
      <protection locked="0"/>
    </xf>
    <xf numFmtId="9" fontId="18" fillId="14" borderId="36" xfId="0" applyNumberFormat="1" applyFont="1" applyFill="1" applyBorder="1" applyProtection="1">
      <protection locked="0"/>
    </xf>
    <xf numFmtId="9" fontId="18" fillId="14" borderId="61" xfId="0" applyNumberFormat="1" applyFont="1" applyFill="1" applyBorder="1" applyProtection="1">
      <protection locked="0"/>
    </xf>
    <xf numFmtId="2" fontId="0" fillId="0" borderId="11" xfId="0" applyNumberFormat="1" applyBorder="1"/>
    <xf numFmtId="2" fontId="0" fillId="0" borderId="13" xfId="0" applyNumberFormat="1" applyBorder="1"/>
    <xf numFmtId="0" fontId="0" fillId="0" borderId="11" xfId="0" applyFont="1" applyBorder="1"/>
    <xf numFmtId="2" fontId="0" fillId="0" borderId="8" xfId="0" applyNumberFormat="1" applyFont="1" applyBorder="1"/>
    <xf numFmtId="2" fontId="0" fillId="0" borderId="13" xfId="0" applyNumberFormat="1" applyFont="1" applyBorder="1"/>
    <xf numFmtId="9" fontId="18" fillId="13" borderId="35" xfId="0" applyNumberFormat="1" applyFont="1" applyFill="1" applyBorder="1" applyProtection="1">
      <protection locked="0"/>
    </xf>
    <xf numFmtId="9" fontId="0" fillId="0" borderId="3" xfId="0" applyNumberFormat="1" applyBorder="1"/>
    <xf numFmtId="9" fontId="0" fillId="0" borderId="0" xfId="0" applyNumberFormat="1" applyBorder="1"/>
    <xf numFmtId="165" fontId="18" fillId="0" borderId="3" xfId="0" applyNumberFormat="1" applyFont="1" applyBorder="1"/>
    <xf numFmtId="165" fontId="18" fillId="0" borderId="0" xfId="0" applyNumberFormat="1" applyFont="1" applyBorder="1"/>
    <xf numFmtId="165" fontId="18" fillId="0" borderId="14" xfId="0" applyNumberFormat="1" applyFont="1" applyBorder="1"/>
    <xf numFmtId="0" fontId="18" fillId="0" borderId="14" xfId="0" applyFont="1" applyBorder="1" applyAlignment="1">
      <alignment horizontal="right"/>
    </xf>
    <xf numFmtId="2" fontId="16" fillId="11" borderId="64" xfId="0" applyNumberFormat="1" applyFont="1" applyFill="1" applyBorder="1" applyProtection="1">
      <protection locked="0"/>
    </xf>
    <xf numFmtId="2" fontId="16" fillId="11" borderId="65" xfId="0" applyNumberFormat="1" applyFont="1" applyFill="1" applyBorder="1" applyProtection="1">
      <protection locked="0"/>
    </xf>
    <xf numFmtId="2" fontId="16" fillId="7" borderId="65" xfId="0" applyNumberFormat="1" applyFont="1" applyFill="1" applyBorder="1" applyProtection="1">
      <protection locked="0"/>
    </xf>
    <xf numFmtId="171" fontId="16" fillId="11" borderId="53" xfId="0" applyNumberFormat="1" applyFont="1" applyFill="1" applyBorder="1" applyProtection="1">
      <protection locked="0"/>
    </xf>
    <xf numFmtId="171" fontId="16" fillId="11" borderId="54" xfId="0" applyNumberFormat="1" applyFont="1" applyFill="1" applyBorder="1" applyProtection="1">
      <protection locked="0"/>
    </xf>
    <xf numFmtId="171" fontId="16" fillId="7" borderId="54" xfId="0" applyNumberFormat="1" applyFont="1" applyFill="1" applyBorder="1" applyProtection="1">
      <protection locked="0"/>
    </xf>
    <xf numFmtId="165" fontId="18" fillId="0" borderId="15" xfId="0" applyNumberFormat="1" applyFont="1" applyBorder="1"/>
    <xf numFmtId="0" fontId="12" fillId="0" borderId="49" xfId="0" applyFont="1" applyBorder="1"/>
    <xf numFmtId="2" fontId="16" fillId="4" borderId="16" xfId="0" applyNumberFormat="1" applyFont="1" applyFill="1" applyBorder="1"/>
    <xf numFmtId="10" fontId="16" fillId="0" borderId="16" xfId="0" applyNumberFormat="1" applyFont="1" applyBorder="1"/>
    <xf numFmtId="2" fontId="16" fillId="7" borderId="66" xfId="0" applyNumberFormat="1" applyFont="1" applyFill="1" applyBorder="1" applyProtection="1">
      <protection locked="0"/>
    </xf>
    <xf numFmtId="171" fontId="16" fillId="7" borderId="62" xfId="0" applyNumberFormat="1" applyFont="1" applyFill="1" applyBorder="1" applyProtection="1">
      <protection locked="0"/>
    </xf>
    <xf numFmtId="0" fontId="18" fillId="0" borderId="11" xfId="0" applyFont="1" applyBorder="1"/>
    <xf numFmtId="2" fontId="18" fillId="4" borderId="3" xfId="0" applyNumberFormat="1" applyFont="1" applyFill="1" applyBorder="1" applyProtection="1">
      <protection locked="0"/>
    </xf>
    <xf numFmtId="2" fontId="18" fillId="4" borderId="8" xfId="0" applyNumberFormat="1" applyFont="1" applyFill="1" applyBorder="1" applyProtection="1">
      <protection locked="0"/>
    </xf>
    <xf numFmtId="1" fontId="18" fillId="0" borderId="1" xfId="0" applyNumberFormat="1" applyFont="1" applyBorder="1"/>
    <xf numFmtId="10" fontId="16" fillId="0" borderId="1" xfId="0" applyNumberFormat="1" applyFont="1" applyBorder="1"/>
    <xf numFmtId="10" fontId="16" fillId="8" borderId="16" xfId="0" applyNumberFormat="1" applyFont="1" applyFill="1" applyBorder="1" applyProtection="1">
      <protection locked="0"/>
    </xf>
    <xf numFmtId="10" fontId="16" fillId="7" borderId="16" xfId="0" applyNumberFormat="1" applyFont="1" applyFill="1" applyBorder="1" applyProtection="1">
      <protection locked="0"/>
    </xf>
    <xf numFmtId="165" fontId="16" fillId="7" borderId="1" xfId="0" applyNumberFormat="1" applyFont="1" applyFill="1" applyBorder="1" applyProtection="1">
      <protection locked="0"/>
    </xf>
    <xf numFmtId="0" fontId="18" fillId="8" borderId="48" xfId="0" applyFont="1" applyFill="1" applyBorder="1" applyProtection="1">
      <protection locked="0"/>
    </xf>
    <xf numFmtId="10" fontId="18" fillId="8" borderId="49" xfId="0" applyNumberFormat="1" applyFont="1" applyFill="1" applyBorder="1" applyProtection="1">
      <protection locked="0"/>
    </xf>
    <xf numFmtId="9" fontId="18" fillId="8" borderId="49" xfId="0" applyNumberFormat="1" applyFont="1" applyFill="1" applyBorder="1" applyProtection="1">
      <protection locked="0"/>
    </xf>
    <xf numFmtId="0" fontId="18" fillId="8" borderId="49" xfId="0" applyFont="1" applyFill="1" applyBorder="1" applyProtection="1">
      <protection locked="0"/>
    </xf>
    <xf numFmtId="0" fontId="18" fillId="8" borderId="1" xfId="0" applyFont="1" applyFill="1" applyBorder="1" applyProtection="1">
      <protection locked="0"/>
    </xf>
    <xf numFmtId="9" fontId="18" fillId="12" borderId="48" xfId="0" applyNumberFormat="1" applyFont="1" applyFill="1" applyBorder="1" applyProtection="1">
      <protection locked="0"/>
    </xf>
    <xf numFmtId="9" fontId="18" fillId="12" borderId="2" xfId="0" applyNumberFormat="1" applyFont="1" applyFill="1" applyBorder="1" applyProtection="1">
      <protection locked="0"/>
    </xf>
    <xf numFmtId="0" fontId="16" fillId="0" borderId="8" xfId="0" applyFont="1" applyBorder="1"/>
    <xf numFmtId="0" fontId="0" fillId="0" borderId="8" xfId="0" applyBorder="1"/>
    <xf numFmtId="0" fontId="12" fillId="0" borderId="8" xfId="0" applyFont="1" applyBorder="1"/>
    <xf numFmtId="0" fontId="18" fillId="0" borderId="13" xfId="0" applyFont="1" applyBorder="1"/>
    <xf numFmtId="2" fontId="18" fillId="0" borderId="3" xfId="0" applyNumberFormat="1" applyFont="1" applyBorder="1" applyProtection="1">
      <protection locked="0"/>
    </xf>
    <xf numFmtId="2" fontId="18" fillId="0" borderId="8" xfId="0" applyNumberFormat="1" applyFont="1" applyBorder="1" applyProtection="1">
      <protection locked="0"/>
    </xf>
    <xf numFmtId="10" fontId="18" fillId="0" borderId="3" xfId="0" applyNumberFormat="1" applyFont="1" applyBorder="1" applyProtection="1">
      <protection locked="0"/>
    </xf>
    <xf numFmtId="10" fontId="18" fillId="0" borderId="8" xfId="0" applyNumberFormat="1" applyFont="1" applyBorder="1" applyProtection="1">
      <protection locked="0"/>
    </xf>
    <xf numFmtId="0" fontId="18" fillId="0" borderId="3" xfId="0" applyFont="1" applyBorder="1" applyProtection="1">
      <protection locked="0"/>
    </xf>
    <xf numFmtId="0" fontId="18" fillId="0" borderId="8" xfId="0" applyFont="1" applyBorder="1" applyProtection="1">
      <protection locked="0"/>
    </xf>
    <xf numFmtId="10" fontId="18" fillId="0" borderId="12" xfId="0" applyNumberFormat="1" applyFont="1" applyBorder="1" applyProtection="1">
      <protection locked="0"/>
    </xf>
    <xf numFmtId="10" fontId="18" fillId="0" borderId="13" xfId="0" applyNumberFormat="1" applyFont="1" applyBorder="1" applyProtection="1">
      <protection locked="0"/>
    </xf>
    <xf numFmtId="165" fontId="18" fillId="0" borderId="3" xfId="0" applyNumberFormat="1" applyFont="1" applyBorder="1" applyProtection="1">
      <protection locked="0"/>
    </xf>
    <xf numFmtId="165" fontId="18" fillId="0" borderId="8" xfId="0" applyNumberFormat="1" applyFont="1" applyBorder="1" applyProtection="1">
      <protection locked="0"/>
    </xf>
    <xf numFmtId="0" fontId="12" fillId="4" borderId="48" xfId="0" applyFont="1" applyFill="1" applyBorder="1" applyAlignment="1" applyProtection="1">
      <alignment horizontal="center"/>
    </xf>
    <xf numFmtId="0" fontId="12" fillId="4" borderId="49" xfId="0" applyFont="1" applyFill="1" applyBorder="1" applyAlignment="1" applyProtection="1">
      <alignment horizontal="center"/>
    </xf>
    <xf numFmtId="0" fontId="12" fillId="4" borderId="2" xfId="0" applyFont="1" applyFill="1" applyBorder="1" applyAlignment="1" applyProtection="1">
      <alignment horizontal="center"/>
    </xf>
    <xf numFmtId="10" fontId="0" fillId="0" borderId="1" xfId="0" applyNumberFormat="1" applyFont="1" applyBorder="1"/>
    <xf numFmtId="0" fontId="23" fillId="0" borderId="0" xfId="0" applyFont="1" applyProtection="1"/>
    <xf numFmtId="170" fontId="18" fillId="4" borderId="20" xfId="0" applyNumberFormat="1" applyFont="1" applyFill="1" applyBorder="1" applyAlignment="1" applyProtection="1">
      <alignment horizontal="center" vertical="center" wrapText="1"/>
    </xf>
    <xf numFmtId="10" fontId="31" fillId="0" borderId="0" xfId="0" applyNumberFormat="1" applyFont="1" applyProtection="1"/>
    <xf numFmtId="2" fontId="0" fillId="0" borderId="16" xfId="0" applyNumberFormat="1" applyBorder="1"/>
    <xf numFmtId="10" fontId="0" fillId="0" borderId="16" xfId="0" applyNumberFormat="1" applyBorder="1"/>
    <xf numFmtId="0" fontId="18" fillId="4" borderId="52" xfId="0" applyFont="1" applyFill="1" applyBorder="1" applyAlignment="1" applyProtection="1">
      <alignment vertical="center"/>
    </xf>
    <xf numFmtId="0" fontId="16" fillId="4" borderId="52" xfId="0" applyFont="1" applyFill="1" applyBorder="1" applyAlignment="1" applyProtection="1">
      <alignment vertical="center"/>
    </xf>
    <xf numFmtId="0" fontId="16" fillId="4" borderId="76" xfId="0" applyFont="1" applyFill="1" applyBorder="1" applyAlignment="1" applyProtection="1">
      <alignment vertical="center"/>
    </xf>
    <xf numFmtId="9" fontId="18" fillId="4" borderId="0" xfId="0" applyNumberFormat="1" applyFont="1" applyFill="1" applyBorder="1" applyAlignment="1" applyProtection="1">
      <alignment horizontal="center" vertical="center" wrapText="1"/>
    </xf>
    <xf numFmtId="9" fontId="18" fillId="4" borderId="0" xfId="0" applyNumberFormat="1" applyFont="1" applyFill="1" applyBorder="1" applyAlignment="1" applyProtection="1">
      <alignment horizontal="center" vertical="center"/>
    </xf>
    <xf numFmtId="9" fontId="18" fillId="4" borderId="4" xfId="0" applyNumberFormat="1" applyFont="1" applyFill="1" applyBorder="1" applyAlignment="1" applyProtection="1">
      <alignment horizontal="center" vertical="center"/>
    </xf>
    <xf numFmtId="170" fontId="18" fillId="4" borderId="3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Protection="1">
      <protection locked="0"/>
    </xf>
    <xf numFmtId="0" fontId="36" fillId="4" borderId="0" xfId="0" applyFont="1" applyFill="1" applyProtection="1"/>
    <xf numFmtId="0" fontId="28" fillId="4" borderId="0" xfId="0" applyFont="1" applyFill="1" applyBorder="1" applyAlignment="1" applyProtection="1">
      <alignment horizontal="center"/>
    </xf>
    <xf numFmtId="0" fontId="18" fillId="4" borderId="48" xfId="0" applyFont="1" applyFill="1" applyBorder="1" applyAlignment="1" applyProtection="1">
      <alignment horizontal="left" vertical="center"/>
    </xf>
    <xf numFmtId="0" fontId="0" fillId="0" borderId="49" xfId="0" applyBorder="1" applyProtection="1"/>
    <xf numFmtId="0" fontId="18" fillId="4" borderId="49" xfId="0" applyFont="1" applyFill="1" applyBorder="1" applyAlignment="1" applyProtection="1">
      <alignment horizontal="left" vertical="center"/>
    </xf>
    <xf numFmtId="2" fontId="18" fillId="4" borderId="12" xfId="0" applyNumberFormat="1" applyFont="1" applyFill="1" applyBorder="1" applyAlignment="1" applyProtection="1">
      <alignment horizontal="center" vertical="center" wrapText="1"/>
    </xf>
    <xf numFmtId="0" fontId="37" fillId="4" borderId="0" xfId="0" applyFont="1" applyFill="1" applyBorder="1" applyAlignment="1" applyProtection="1">
      <alignment horizontal="center"/>
      <protection locked="0"/>
    </xf>
    <xf numFmtId="0" fontId="16" fillId="0" borderId="9" xfId="0" applyFont="1" applyBorder="1" applyProtection="1"/>
    <xf numFmtId="0" fontId="16" fillId="0" borderId="10" xfId="0" applyFont="1" applyBorder="1" applyProtection="1"/>
    <xf numFmtId="9" fontId="18" fillId="0" borderId="11" xfId="0" applyNumberFormat="1" applyFont="1" applyBorder="1" applyProtection="1"/>
    <xf numFmtId="0" fontId="16" fillId="0" borderId="4" xfId="0" applyFont="1" applyBorder="1" applyProtection="1"/>
    <xf numFmtId="9" fontId="18" fillId="0" borderId="13" xfId="0" applyNumberFormat="1" applyFont="1" applyBorder="1" applyProtection="1"/>
    <xf numFmtId="9" fontId="18" fillId="4" borderId="3" xfId="0" applyNumberFormat="1" applyFont="1" applyFill="1" applyBorder="1" applyAlignment="1" applyProtection="1">
      <alignment horizontal="center" vertical="center" wrapText="1"/>
    </xf>
    <xf numFmtId="9" fontId="18" fillId="4" borderId="8" xfId="0" applyNumberFormat="1" applyFont="1" applyFill="1" applyBorder="1" applyAlignment="1" applyProtection="1">
      <alignment horizontal="center" vertical="center" wrapText="1"/>
    </xf>
    <xf numFmtId="9" fontId="18" fillId="4" borderId="3" xfId="0" applyNumberFormat="1" applyFont="1" applyFill="1" applyBorder="1" applyAlignment="1" applyProtection="1">
      <alignment horizontal="center" vertical="center"/>
    </xf>
    <xf numFmtId="9" fontId="18" fillId="4" borderId="8" xfId="0" applyNumberFormat="1" applyFont="1" applyFill="1" applyBorder="1" applyAlignment="1" applyProtection="1">
      <alignment horizontal="center" vertical="center"/>
    </xf>
    <xf numFmtId="9" fontId="18" fillId="4" borderId="12" xfId="0" applyNumberFormat="1" applyFont="1" applyFill="1" applyBorder="1" applyAlignment="1" applyProtection="1">
      <alignment horizontal="center" vertical="center"/>
    </xf>
    <xf numFmtId="9" fontId="18" fillId="4" borderId="13" xfId="0" applyNumberFormat="1" applyFont="1" applyFill="1" applyBorder="1" applyAlignment="1" applyProtection="1">
      <alignment horizontal="center" vertical="center"/>
    </xf>
    <xf numFmtId="9" fontId="18" fillId="4" borderId="0" xfId="1" applyNumberFormat="1" applyFont="1" applyFill="1" applyBorder="1" applyAlignment="1" applyProtection="1">
      <alignment horizontal="center" vertical="center"/>
    </xf>
    <xf numFmtId="0" fontId="16" fillId="4" borderId="9" xfId="0" applyFont="1" applyFill="1" applyBorder="1" applyProtection="1"/>
    <xf numFmtId="0" fontId="16" fillId="4" borderId="11" xfId="0" applyFont="1" applyFill="1" applyBorder="1" applyProtection="1"/>
    <xf numFmtId="2" fontId="18" fillId="0" borderId="25" xfId="0" applyNumberFormat="1" applyFont="1" applyBorder="1" applyProtection="1"/>
    <xf numFmtId="2" fontId="18" fillId="0" borderId="27" xfId="0" applyNumberFormat="1" applyFont="1" applyBorder="1" applyProtection="1"/>
    <xf numFmtId="2" fontId="18" fillId="0" borderId="26" xfId="0" applyNumberFormat="1" applyFont="1" applyBorder="1" applyProtection="1"/>
    <xf numFmtId="164" fontId="18" fillId="4" borderId="9" xfId="0" applyNumberFormat="1" applyFont="1" applyFill="1" applyBorder="1"/>
    <xf numFmtId="164" fontId="18" fillId="4" borderId="10" xfId="0" applyNumberFormat="1" applyFont="1" applyFill="1" applyBorder="1"/>
    <xf numFmtId="164" fontId="18" fillId="4" borderId="11" xfId="0" applyNumberFormat="1" applyFont="1" applyFill="1" applyBorder="1"/>
    <xf numFmtId="164" fontId="18" fillId="4" borderId="3" xfId="0" applyNumberFormat="1" applyFont="1" applyFill="1" applyBorder="1"/>
    <xf numFmtId="164" fontId="18" fillId="4" borderId="8" xfId="0" applyNumberFormat="1" applyFont="1" applyFill="1" applyBorder="1"/>
    <xf numFmtId="10" fontId="18" fillId="4" borderId="12" xfId="0" applyNumberFormat="1" applyFont="1" applyFill="1" applyBorder="1"/>
    <xf numFmtId="10" fontId="18" fillId="4" borderId="4" xfId="0" applyNumberFormat="1" applyFont="1" applyFill="1" applyBorder="1"/>
    <xf numFmtId="10" fontId="18" fillId="4" borderId="13" xfId="0" applyNumberFormat="1" applyFont="1" applyFill="1" applyBorder="1"/>
    <xf numFmtId="0" fontId="0" fillId="0" borderId="11" xfId="0" applyBorder="1"/>
    <xf numFmtId="0" fontId="18" fillId="4" borderId="3" xfId="0" applyFont="1" applyFill="1" applyBorder="1" applyAlignment="1" applyProtection="1">
      <alignment horizontal="left"/>
    </xf>
    <xf numFmtId="0" fontId="12" fillId="0" borderId="0" xfId="0" applyFont="1" applyAlignment="1" applyProtection="1"/>
    <xf numFmtId="0" fontId="0" fillId="0" borderId="0" xfId="0"/>
    <xf numFmtId="0" fontId="0" fillId="4" borderId="0" xfId="0" applyFill="1" applyBorder="1" applyAlignment="1" applyProtection="1">
      <alignment horizontal="left" wrapText="1"/>
    </xf>
    <xf numFmtId="164" fontId="0" fillId="4" borderId="0" xfId="0" applyNumberFormat="1" applyFill="1" applyBorder="1" applyAlignment="1" applyProtection="1">
      <alignment horizontal="center" wrapText="1"/>
    </xf>
    <xf numFmtId="0" fontId="10" fillId="4" borderId="0" xfId="0" applyFont="1" applyFill="1" applyBorder="1" applyAlignment="1" applyProtection="1">
      <alignment horizontal="left" vertical="center"/>
    </xf>
    <xf numFmtId="1" fontId="0" fillId="0" borderId="0" xfId="0" applyNumberFormat="1" applyBorder="1" applyProtection="1"/>
    <xf numFmtId="10" fontId="0" fillId="0" borderId="86" xfId="0" applyNumberFormat="1" applyBorder="1" applyProtection="1"/>
    <xf numFmtId="10" fontId="0" fillId="0" borderId="87" xfId="0" applyNumberFormat="1" applyBorder="1" applyProtection="1"/>
    <xf numFmtId="10" fontId="0" fillId="0" borderId="88" xfId="0" applyNumberFormat="1" applyBorder="1" applyProtection="1"/>
    <xf numFmtId="10" fontId="0" fillId="0" borderId="89" xfId="0" applyNumberFormat="1" applyBorder="1" applyProtection="1"/>
    <xf numFmtId="1" fontId="0" fillId="0" borderId="86" xfId="0" applyNumberFormat="1" applyBorder="1" applyProtection="1"/>
    <xf numFmtId="1" fontId="0" fillId="0" borderId="87" xfId="0" applyNumberFormat="1" applyBorder="1" applyProtection="1"/>
    <xf numFmtId="1" fontId="0" fillId="0" borderId="88" xfId="0" applyNumberFormat="1" applyBorder="1" applyProtection="1"/>
    <xf numFmtId="1" fontId="0" fillId="0" borderId="89" xfId="0" applyNumberFormat="1" applyBorder="1" applyProtection="1"/>
    <xf numFmtId="0" fontId="17" fillId="0" borderId="3" xfId="0" applyFont="1" applyBorder="1" applyAlignment="1">
      <alignment horizontal="right"/>
    </xf>
    <xf numFmtId="10" fontId="9" fillId="0" borderId="3" xfId="0" applyNumberFormat="1" applyFont="1" applyBorder="1"/>
    <xf numFmtId="0" fontId="9" fillId="0" borderId="12" xfId="0" applyFont="1" applyBorder="1" applyAlignment="1">
      <alignment horizontal="right"/>
    </xf>
    <xf numFmtId="165" fontId="9" fillId="0" borderId="12" xfId="0" applyNumberFormat="1" applyFont="1" applyBorder="1" applyAlignment="1">
      <alignment horizontal="center"/>
    </xf>
    <xf numFmtId="165" fontId="9" fillId="0" borderId="37" xfId="0" applyNumberFormat="1" applyFont="1" applyBorder="1" applyAlignment="1">
      <alignment horizontal="center"/>
    </xf>
    <xf numFmtId="0" fontId="17" fillId="0" borderId="20" xfId="0" applyFont="1" applyBorder="1" applyAlignment="1">
      <alignment horizontal="right"/>
    </xf>
    <xf numFmtId="9" fontId="9" fillId="0" borderId="20" xfId="0" applyNumberFormat="1" applyFont="1" applyBorder="1" applyAlignment="1">
      <alignment horizontal="center"/>
    </xf>
    <xf numFmtId="9" fontId="9" fillId="0" borderId="5" xfId="0" applyNumberFormat="1" applyFont="1" applyBorder="1" applyAlignment="1">
      <alignment horizontal="center"/>
    </xf>
    <xf numFmtId="9" fontId="9" fillId="0" borderId="39" xfId="0" applyNumberFormat="1" applyFont="1" applyBorder="1" applyAlignment="1">
      <alignment horizontal="center"/>
    </xf>
    <xf numFmtId="9" fontId="9" fillId="0" borderId="38" xfId="0" applyNumberFormat="1" applyFont="1" applyBorder="1" applyAlignment="1">
      <alignment horizontal="center"/>
    </xf>
    <xf numFmtId="0" fontId="9" fillId="0" borderId="20" xfId="0" applyFont="1" applyBorder="1"/>
    <xf numFmtId="0" fontId="9" fillId="0" borderId="3" xfId="0" applyFont="1" applyBorder="1"/>
    <xf numFmtId="0" fontId="9" fillId="0" borderId="3" xfId="0" applyFont="1" applyBorder="1" applyAlignment="1">
      <alignment horizontal="right"/>
    </xf>
    <xf numFmtId="9" fontId="9" fillId="0" borderId="3" xfId="0" applyNumberFormat="1" applyFont="1" applyBorder="1" applyAlignment="1">
      <alignment horizontal="center"/>
    </xf>
    <xf numFmtId="0" fontId="29" fillId="0" borderId="3" xfId="0" applyFont="1" applyBorder="1" applyAlignment="1">
      <alignment horizontal="right"/>
    </xf>
    <xf numFmtId="9" fontId="0" fillId="0" borderId="9" xfId="0" applyNumberForma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0" fontId="16" fillId="4" borderId="14" xfId="0" applyFont="1" applyFill="1" applyBorder="1" applyAlignment="1" applyProtection="1">
      <alignment horizontal="left" vertical="center"/>
    </xf>
    <xf numFmtId="1" fontId="16" fillId="4" borderId="3" xfId="0" applyNumberFormat="1" applyFont="1" applyFill="1" applyBorder="1" applyAlignment="1" applyProtection="1">
      <alignment horizontal="center" vertical="center" wrapText="1"/>
    </xf>
    <xf numFmtId="1" fontId="16" fillId="4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9" fontId="8" fillId="4" borderId="0" xfId="1" applyFont="1" applyFill="1" applyBorder="1" applyAlignment="1" applyProtection="1">
      <alignment horizontal="center" vertical="center" wrapText="1"/>
      <protection locked="0"/>
    </xf>
    <xf numFmtId="10" fontId="0" fillId="0" borderId="0" xfId="1" applyNumberFormat="1" applyFont="1" applyProtection="1"/>
    <xf numFmtId="9" fontId="0" fillId="4" borderId="0" xfId="1" applyFont="1" applyFill="1" applyBorder="1" applyAlignment="1" applyProtection="1">
      <alignment horizontal="center" wrapText="1"/>
    </xf>
    <xf numFmtId="0" fontId="0" fillId="0" borderId="0" xfId="0"/>
    <xf numFmtId="0" fontId="0" fillId="0" borderId="1" xfId="0" applyBorder="1" applyProtection="1"/>
    <xf numFmtId="0" fontId="12" fillId="0" borderId="14" xfId="0" applyFont="1" applyBorder="1" applyProtection="1"/>
    <xf numFmtId="9" fontId="16" fillId="17" borderId="1" xfId="0" applyNumberFormat="1" applyFont="1" applyFill="1" applyBorder="1" applyAlignment="1" applyProtection="1">
      <alignment horizontal="center"/>
      <protection locked="0"/>
    </xf>
    <xf numFmtId="0" fontId="22" fillId="17" borderId="26" xfId="0" applyFont="1" applyFill="1" applyBorder="1" applyAlignment="1" applyProtection="1">
      <alignment horizontal="center"/>
    </xf>
    <xf numFmtId="0" fontId="22" fillId="10" borderId="14" xfId="0" applyFont="1" applyFill="1" applyBorder="1" applyAlignment="1" applyProtection="1">
      <alignment horizontal="center"/>
    </xf>
    <xf numFmtId="0" fontId="22" fillId="10" borderId="15" xfId="0" applyFont="1" applyFill="1" applyBorder="1" applyAlignment="1" applyProtection="1">
      <alignment horizontal="center"/>
    </xf>
    <xf numFmtId="0" fontId="16" fillId="18" borderId="9" xfId="0" applyFont="1" applyFill="1" applyBorder="1"/>
    <xf numFmtId="0" fontId="16" fillId="18" borderId="50" xfId="0" applyFont="1" applyFill="1" applyBorder="1" applyProtection="1">
      <protection locked="0"/>
    </xf>
    <xf numFmtId="0" fontId="16" fillId="18" borderId="51" xfId="0" applyFont="1" applyFill="1" applyBorder="1" applyProtection="1">
      <protection locked="0"/>
    </xf>
    <xf numFmtId="0" fontId="9" fillId="0" borderId="3" xfId="0" applyFont="1" applyFill="1" applyBorder="1"/>
    <xf numFmtId="0" fontId="9" fillId="0" borderId="85" xfId="0" applyFont="1" applyFill="1" applyBorder="1" applyProtection="1">
      <protection locked="0"/>
    </xf>
    <xf numFmtId="0" fontId="16" fillId="18" borderId="9" xfId="0" applyFont="1" applyFill="1" applyBorder="1" applyAlignment="1">
      <alignment horizontal="left"/>
    </xf>
    <xf numFmtId="173" fontId="16" fillId="18" borderId="9" xfId="0" applyNumberFormat="1" applyFont="1" applyFill="1" applyBorder="1" applyProtection="1">
      <protection locked="0"/>
    </xf>
    <xf numFmtId="173" fontId="16" fillId="18" borderId="10" xfId="0" applyNumberFormat="1" applyFont="1" applyFill="1" applyBorder="1" applyProtection="1">
      <protection locked="0"/>
    </xf>
    <xf numFmtId="0" fontId="16" fillId="0" borderId="21" xfId="0" applyFont="1" applyFill="1" applyBorder="1"/>
    <xf numFmtId="171" fontId="16" fillId="0" borderId="33" xfId="0" applyNumberFormat="1" applyFont="1" applyFill="1" applyBorder="1" applyProtection="1">
      <protection locked="0"/>
    </xf>
    <xf numFmtId="171" fontId="16" fillId="0" borderId="34" xfId="0" applyNumberFormat="1" applyFont="1" applyFill="1" applyBorder="1" applyProtection="1">
      <protection locked="0"/>
    </xf>
    <xf numFmtId="0" fontId="16" fillId="18" borderId="3" xfId="0" applyFont="1" applyFill="1" applyBorder="1"/>
    <xf numFmtId="171" fontId="16" fillId="18" borderId="33" xfId="0" applyNumberFormat="1" applyFont="1" applyFill="1" applyBorder="1" applyProtection="1">
      <protection locked="0"/>
    </xf>
    <xf numFmtId="171" fontId="16" fillId="18" borderId="34" xfId="0" applyNumberFormat="1" applyFont="1" applyFill="1" applyBorder="1" applyProtection="1">
      <protection locked="0"/>
    </xf>
    <xf numFmtId="0" fontId="9" fillId="0" borderId="21" xfId="0" applyFont="1" applyFill="1" applyBorder="1"/>
    <xf numFmtId="171" fontId="9" fillId="0" borderId="3" xfId="0" applyNumberFormat="1" applyFont="1" applyFill="1" applyBorder="1"/>
    <xf numFmtId="0" fontId="22" fillId="10" borderId="12" xfId="0" applyFont="1" applyFill="1" applyBorder="1"/>
    <xf numFmtId="173" fontId="22" fillId="10" borderId="4" xfId="0" applyNumberFormat="1" applyFont="1" applyFill="1" applyBorder="1" applyProtection="1">
      <protection locked="0"/>
    </xf>
    <xf numFmtId="0" fontId="16" fillId="0" borderId="34" xfId="0" applyFont="1" applyFill="1" applyBorder="1" applyProtection="1">
      <protection locked="0"/>
    </xf>
    <xf numFmtId="0" fontId="16" fillId="0" borderId="42" xfId="0" applyFont="1" applyFill="1" applyBorder="1" applyProtection="1">
      <protection locked="0"/>
    </xf>
    <xf numFmtId="0" fontId="16" fillId="0" borderId="40" xfId="0" applyFont="1" applyFill="1" applyBorder="1" applyProtection="1">
      <protection locked="0"/>
    </xf>
    <xf numFmtId="0" fontId="16" fillId="0" borderId="41" xfId="0" applyFont="1" applyFill="1" applyBorder="1" applyProtection="1">
      <protection locked="0"/>
    </xf>
    <xf numFmtId="0" fontId="16" fillId="0" borderId="43" xfId="0" applyFont="1" applyFill="1" applyBorder="1" applyProtection="1">
      <protection locked="0"/>
    </xf>
    <xf numFmtId="0" fontId="12" fillId="10" borderId="30" xfId="0" applyFont="1" applyFill="1" applyBorder="1" applyProtection="1"/>
    <xf numFmtId="0" fontId="16" fillId="10" borderId="44" xfId="0" applyFont="1" applyFill="1" applyBorder="1" applyProtection="1">
      <protection locked="0"/>
    </xf>
    <xf numFmtId="0" fontId="16" fillId="10" borderId="45" xfId="0" applyFont="1" applyFill="1" applyBorder="1" applyProtection="1">
      <protection locked="0"/>
    </xf>
    <xf numFmtId="0" fontId="16" fillId="10" borderId="46" xfId="0" applyFont="1" applyFill="1" applyBorder="1" applyProtection="1">
      <protection locked="0"/>
    </xf>
    <xf numFmtId="0" fontId="16" fillId="10" borderId="47" xfId="0" applyFont="1" applyFill="1" applyBorder="1" applyProtection="1">
      <protection locked="0"/>
    </xf>
    <xf numFmtId="0" fontId="29" fillId="16" borderId="3" xfId="0" applyFont="1" applyFill="1" applyBorder="1" applyAlignment="1">
      <alignment horizontal="right"/>
    </xf>
    <xf numFmtId="2" fontId="0" fillId="16" borderId="20" xfId="0" applyNumberFormat="1" applyFill="1" applyBorder="1" applyAlignment="1">
      <alignment horizontal="center"/>
    </xf>
    <xf numFmtId="2" fontId="0" fillId="16" borderId="5" xfId="0" applyNumberFormat="1" applyFill="1" applyBorder="1" applyAlignment="1">
      <alignment horizontal="center"/>
    </xf>
    <xf numFmtId="0" fontId="22" fillId="17" borderId="18" xfId="0" applyFont="1" applyFill="1" applyBorder="1" applyAlignment="1" applyProtection="1">
      <alignment horizontal="center"/>
    </xf>
    <xf numFmtId="0" fontId="22" fillId="17" borderId="0" xfId="0" applyFont="1" applyFill="1" applyBorder="1" applyAlignment="1" applyProtection="1">
      <alignment horizontal="center"/>
    </xf>
    <xf numFmtId="0" fontId="22" fillId="17" borderId="6" xfId="0" applyFont="1" applyFill="1" applyBorder="1" applyAlignment="1" applyProtection="1">
      <alignment horizontal="center"/>
    </xf>
    <xf numFmtId="0" fontId="16" fillId="0" borderId="50" xfId="0" applyFont="1" applyFill="1" applyBorder="1" applyProtection="1">
      <protection locked="0"/>
    </xf>
    <xf numFmtId="0" fontId="16" fillId="0" borderId="51" xfId="0" applyFont="1" applyFill="1" applyBorder="1" applyProtection="1">
      <protection locked="0"/>
    </xf>
    <xf numFmtId="0" fontId="16" fillId="0" borderId="67" xfId="0" applyFont="1" applyFill="1" applyBorder="1" applyProtection="1">
      <protection locked="0"/>
    </xf>
    <xf numFmtId="0" fontId="16" fillId="0" borderId="35" xfId="0" applyFont="1" applyFill="1" applyBorder="1" applyProtection="1">
      <protection locked="0"/>
    </xf>
    <xf numFmtId="0" fontId="16" fillId="0" borderId="36" xfId="0" applyFont="1" applyFill="1" applyBorder="1" applyProtection="1">
      <protection locked="0"/>
    </xf>
    <xf numFmtId="0" fontId="16" fillId="0" borderId="68" xfId="0" applyFont="1" applyFill="1" applyBorder="1" applyProtection="1">
      <protection locked="0"/>
    </xf>
    <xf numFmtId="0" fontId="16" fillId="0" borderId="77" xfId="0" applyFont="1" applyFill="1" applyBorder="1" applyProtection="1">
      <protection locked="0"/>
    </xf>
    <xf numFmtId="0" fontId="16" fillId="0" borderId="69" xfId="0" applyFont="1" applyFill="1" applyBorder="1" applyProtection="1">
      <protection locked="0"/>
    </xf>
    <xf numFmtId="0" fontId="16" fillId="0" borderId="70" xfId="0" applyFont="1" applyFill="1" applyBorder="1" applyProtection="1">
      <protection locked="0"/>
    </xf>
    <xf numFmtId="0" fontId="22" fillId="16" borderId="10" xfId="0" applyFont="1" applyFill="1" applyBorder="1" applyAlignment="1" applyProtection="1">
      <alignment horizontal="center"/>
    </xf>
    <xf numFmtId="1" fontId="22" fillId="10" borderId="15" xfId="0" applyNumberFormat="1" applyFont="1" applyFill="1" applyBorder="1" applyAlignment="1" applyProtection="1">
      <alignment horizontal="center" vertical="center"/>
    </xf>
    <xf numFmtId="0" fontId="22" fillId="16" borderId="9" xfId="0" applyFont="1" applyFill="1" applyBorder="1" applyAlignment="1" applyProtection="1">
      <alignment horizontal="center"/>
    </xf>
    <xf numFmtId="0" fontId="22" fillId="16" borderId="11" xfId="0" applyFont="1" applyFill="1" applyBorder="1" applyAlignment="1" applyProtection="1">
      <alignment horizontal="center"/>
    </xf>
    <xf numFmtId="0" fontId="18" fillId="15" borderId="3" xfId="0" applyFont="1" applyFill="1" applyBorder="1" applyProtection="1"/>
    <xf numFmtId="0" fontId="18" fillId="15" borderId="0" xfId="0" applyFont="1" applyFill="1" applyBorder="1" applyProtection="1"/>
    <xf numFmtId="170" fontId="18" fillId="0" borderId="71" xfId="0" applyNumberFormat="1" applyFont="1" applyFill="1" applyBorder="1" applyAlignment="1" applyProtection="1">
      <alignment horizontal="center" vertical="center" wrapText="1"/>
      <protection locked="0"/>
    </xf>
    <xf numFmtId="170" fontId="18" fillId="0" borderId="83" xfId="0" applyNumberFormat="1" applyFont="1" applyFill="1" applyBorder="1" applyAlignment="1" applyProtection="1">
      <alignment horizontal="center" vertical="center" wrapText="1"/>
      <protection locked="0"/>
    </xf>
    <xf numFmtId="170" fontId="18" fillId="0" borderId="72" xfId="0" applyNumberFormat="1" applyFont="1" applyFill="1" applyBorder="1" applyAlignment="1" applyProtection="1">
      <alignment horizontal="center" vertical="center" wrapText="1"/>
      <protection locked="0"/>
    </xf>
    <xf numFmtId="170" fontId="18" fillId="0" borderId="73" xfId="0" applyNumberFormat="1" applyFont="1" applyFill="1" applyBorder="1" applyAlignment="1" applyProtection="1">
      <alignment horizontal="center" vertical="center" wrapText="1"/>
      <protection locked="0"/>
    </xf>
    <xf numFmtId="0" fontId="37" fillId="15" borderId="3" xfId="0" applyFont="1" applyFill="1" applyBorder="1" applyAlignment="1" applyProtection="1">
      <alignment horizontal="center"/>
    </xf>
    <xf numFmtId="0" fontId="12" fillId="0" borderId="9" xfId="0" applyFont="1" applyBorder="1" applyProtection="1"/>
    <xf numFmtId="1" fontId="22" fillId="10" borderId="10" xfId="0" applyNumberFormat="1" applyFont="1" applyFill="1" applyBorder="1" applyAlignment="1" applyProtection="1">
      <alignment horizontal="center" vertical="center"/>
    </xf>
    <xf numFmtId="0" fontId="22" fillId="10" borderId="10" xfId="0" applyFont="1" applyFill="1" applyBorder="1" applyAlignment="1" applyProtection="1">
      <alignment horizontal="center"/>
    </xf>
    <xf numFmtId="170" fontId="18" fillId="0" borderId="97" xfId="0" applyNumberFormat="1" applyFont="1" applyFill="1" applyBorder="1" applyAlignment="1" applyProtection="1">
      <alignment horizontal="center" vertical="center" wrapText="1"/>
      <protection locked="0"/>
    </xf>
    <xf numFmtId="0" fontId="37" fillId="15" borderId="14" xfId="0" applyFont="1" applyFill="1" applyBorder="1" applyAlignment="1" applyProtection="1">
      <alignment horizontal="center"/>
    </xf>
    <xf numFmtId="0" fontId="18" fillId="15" borderId="15" xfId="0" applyFont="1" applyFill="1" applyBorder="1" applyProtection="1"/>
    <xf numFmtId="0" fontId="18" fillId="15" borderId="14" xfId="0" applyFont="1" applyFill="1" applyBorder="1" applyProtection="1"/>
    <xf numFmtId="0" fontId="18" fillId="15" borderId="16" xfId="0" applyFont="1" applyFill="1" applyBorder="1" applyProtection="1"/>
    <xf numFmtId="0" fontId="18" fillId="0" borderId="3" xfId="0" applyFont="1" applyBorder="1" applyAlignment="1" applyProtection="1">
      <alignment horizontal="left"/>
    </xf>
    <xf numFmtId="170" fontId="18" fillId="0" borderId="98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57" xfId="0" applyNumberFormat="1" applyFont="1" applyFill="1" applyBorder="1" applyAlignment="1" applyProtection="1">
      <alignment horizontal="center" vertical="center"/>
      <protection locked="0"/>
    </xf>
    <xf numFmtId="2" fontId="22" fillId="4" borderId="3" xfId="0" applyNumberFormat="1" applyFont="1" applyFill="1" applyBorder="1" applyAlignment="1" applyProtection="1">
      <alignment horizontal="left" vertical="center"/>
    </xf>
    <xf numFmtId="0" fontId="0" fillId="0" borderId="9" xfId="0" applyBorder="1"/>
    <xf numFmtId="0" fontId="0" fillId="0" borderId="12" xfId="0" applyBorder="1"/>
    <xf numFmtId="0" fontId="0" fillId="0" borderId="4" xfId="0" applyBorder="1"/>
    <xf numFmtId="0" fontId="16" fillId="0" borderId="14" xfId="0" applyFont="1" applyBorder="1" applyProtection="1"/>
    <xf numFmtId="2" fontId="18" fillId="0" borderId="14" xfId="0" applyNumberFormat="1" applyFont="1" applyBorder="1" applyProtection="1"/>
    <xf numFmtId="2" fontId="18" fillId="0" borderId="15" xfId="0" applyNumberFormat="1" applyFont="1" applyBorder="1" applyProtection="1"/>
    <xf numFmtId="2" fontId="18" fillId="0" borderId="16" xfId="0" applyNumberFormat="1" applyFont="1" applyBorder="1" applyProtection="1"/>
    <xf numFmtId="0" fontId="16" fillId="4" borderId="21" xfId="0" applyFont="1" applyFill="1" applyBorder="1" applyProtection="1"/>
    <xf numFmtId="0" fontId="16" fillId="4" borderId="20" xfId="0" applyFont="1" applyFill="1" applyBorder="1" applyProtection="1"/>
    <xf numFmtId="0" fontId="18" fillId="4" borderId="3" xfId="0" applyFont="1" applyFill="1" applyBorder="1" applyProtection="1"/>
    <xf numFmtId="1" fontId="22" fillId="10" borderId="9" xfId="0" applyNumberFormat="1" applyFont="1" applyFill="1" applyBorder="1" applyAlignment="1" applyProtection="1">
      <alignment horizontal="center" vertical="center"/>
    </xf>
    <xf numFmtId="0" fontId="22" fillId="10" borderId="11" xfId="0" applyFont="1" applyFill="1" applyBorder="1" applyAlignment="1" applyProtection="1">
      <alignment horizontal="center"/>
    </xf>
    <xf numFmtId="170" fontId="18" fillId="0" borderId="99" xfId="0" applyNumberFormat="1" applyFont="1" applyFill="1" applyBorder="1" applyAlignment="1" applyProtection="1">
      <alignment horizontal="center" vertical="center" wrapText="1"/>
      <protection locked="0"/>
    </xf>
    <xf numFmtId="170" fontId="18" fillId="0" borderId="102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104" xfId="0" applyNumberFormat="1" applyFont="1" applyFill="1" applyBorder="1" applyAlignment="1" applyProtection="1">
      <alignment horizontal="center" vertical="center"/>
      <protection locked="0"/>
    </xf>
    <xf numFmtId="171" fontId="16" fillId="0" borderId="84" xfId="0" applyNumberFormat="1" applyFont="1" applyFill="1" applyBorder="1" applyProtection="1">
      <protection locked="0"/>
    </xf>
    <xf numFmtId="171" fontId="16" fillId="0" borderId="40" xfId="0" applyNumberFormat="1" applyFont="1" applyFill="1" applyBorder="1" applyProtection="1">
      <protection locked="0"/>
    </xf>
    <xf numFmtId="169" fontId="23" fillId="0" borderId="9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171" fontId="16" fillId="0" borderId="78" xfId="0" applyNumberFormat="1" applyFont="1" applyFill="1" applyBorder="1" applyProtection="1">
      <protection locked="0"/>
    </xf>
    <xf numFmtId="171" fontId="16" fillId="0" borderId="79" xfId="0" applyNumberFormat="1" applyFont="1" applyFill="1" applyBorder="1" applyProtection="1">
      <protection locked="0"/>
    </xf>
    <xf numFmtId="169" fontId="23" fillId="0" borderId="95" xfId="0" applyNumberFormat="1" applyFont="1" applyFill="1" applyBorder="1" applyAlignment="1" applyProtection="1">
      <alignment horizontal="center" vertical="center"/>
      <protection locked="0"/>
    </xf>
    <xf numFmtId="171" fontId="16" fillId="0" borderId="0" xfId="0" applyNumberFormat="1" applyFont="1" applyFill="1" applyBorder="1" applyProtection="1">
      <protection locked="0"/>
    </xf>
    <xf numFmtId="169" fontId="23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0" fontId="20" fillId="0" borderId="91" xfId="1" applyNumberFormat="1" applyFont="1" applyFill="1" applyBorder="1" applyAlignment="1" applyProtection="1">
      <alignment horizontal="center" wrapText="1"/>
    </xf>
    <xf numFmtId="9" fontId="20" fillId="0" borderId="91" xfId="1" applyFont="1" applyFill="1" applyBorder="1" applyAlignment="1" applyProtection="1">
      <alignment horizontal="center" wrapText="1"/>
    </xf>
    <xf numFmtId="1" fontId="0" fillId="0" borderId="0" xfId="0" applyNumberFormat="1" applyFill="1" applyBorder="1" applyProtection="1"/>
    <xf numFmtId="0" fontId="16" fillId="10" borderId="0" xfId="0" applyFont="1" applyFill="1" applyBorder="1" applyAlignment="1" applyProtection="1">
      <alignment horizontal="center" vertical="center" wrapText="1"/>
    </xf>
    <xf numFmtId="0" fontId="16" fillId="10" borderId="6" xfId="0" applyFont="1" applyFill="1" applyBorder="1" applyAlignment="1" applyProtection="1">
      <alignment horizontal="center" vertical="center" wrapText="1"/>
    </xf>
    <xf numFmtId="9" fontId="16" fillId="17" borderId="74" xfId="1" applyFont="1" applyFill="1" applyBorder="1" applyAlignment="1" applyProtection="1">
      <alignment horizontal="center" vertical="center" wrapText="1"/>
    </xf>
    <xf numFmtId="9" fontId="16" fillId="17" borderId="31" xfId="1" applyFont="1" applyFill="1" applyBorder="1" applyAlignment="1" applyProtection="1">
      <alignment horizontal="center" vertical="center" wrapText="1"/>
    </xf>
    <xf numFmtId="9" fontId="16" fillId="17" borderId="75" xfId="1" applyFont="1" applyFill="1" applyBorder="1" applyAlignment="1" applyProtection="1">
      <alignment horizontal="center" vertical="center" wrapText="1"/>
    </xf>
    <xf numFmtId="9" fontId="16" fillId="17" borderId="32" xfId="1" applyFont="1" applyFill="1" applyBorder="1" applyAlignment="1" applyProtection="1">
      <alignment horizontal="center" vertical="center" wrapText="1"/>
    </xf>
    <xf numFmtId="164" fontId="18" fillId="17" borderId="23" xfId="0" applyNumberFormat="1" applyFont="1" applyFill="1" applyBorder="1"/>
    <xf numFmtId="164" fontId="18" fillId="17" borderId="18" xfId="0" applyNumberFormat="1" applyFont="1" applyFill="1" applyBorder="1"/>
    <xf numFmtId="0" fontId="16" fillId="10" borderId="9" xfId="0" applyFont="1" applyFill="1" applyBorder="1"/>
    <xf numFmtId="1" fontId="16" fillId="10" borderId="29" xfId="0" applyNumberFormat="1" applyFont="1" applyFill="1" applyBorder="1" applyAlignment="1">
      <alignment horizontal="right"/>
    </xf>
    <xf numFmtId="1" fontId="16" fillId="10" borderId="10" xfId="0" applyNumberFormat="1" applyFont="1" applyFill="1" applyBorder="1" applyAlignment="1">
      <alignment horizontal="right"/>
    </xf>
    <xf numFmtId="1" fontId="16" fillId="10" borderId="11" xfId="0" applyNumberFormat="1" applyFont="1" applyFill="1" applyBorder="1" applyAlignment="1">
      <alignment horizontal="right"/>
    </xf>
    <xf numFmtId="0" fontId="16" fillId="4" borderId="107" xfId="0" applyFont="1" applyFill="1" applyBorder="1"/>
    <xf numFmtId="0" fontId="16" fillId="4" borderId="52" xfId="0" applyFont="1" applyFill="1" applyBorder="1"/>
    <xf numFmtId="0" fontId="16" fillId="4" borderId="76" xfId="0" applyFont="1" applyFill="1" applyBorder="1"/>
    <xf numFmtId="10" fontId="18" fillId="17" borderId="108" xfId="0" applyNumberFormat="1" applyFont="1" applyFill="1" applyBorder="1"/>
    <xf numFmtId="0" fontId="0" fillId="0" borderId="3" xfId="0" applyBorder="1"/>
    <xf numFmtId="0" fontId="0" fillId="17" borderId="1" xfId="0" applyFill="1" applyBorder="1" applyAlignment="1" applyProtection="1">
      <alignment horizontal="center" vertical="center"/>
      <protection locked="0"/>
    </xf>
    <xf numFmtId="0" fontId="19" fillId="17" borderId="9" xfId="0" applyFont="1" applyFill="1" applyBorder="1"/>
    <xf numFmtId="0" fontId="19" fillId="17" borderId="11" xfId="0" applyFont="1" applyFill="1" applyBorder="1"/>
    <xf numFmtId="0" fontId="19" fillId="17" borderId="3" xfId="0" applyFont="1" applyFill="1" applyBorder="1"/>
    <xf numFmtId="0" fontId="19" fillId="17" borderId="8" xfId="0" applyFont="1" applyFill="1" applyBorder="1"/>
    <xf numFmtId="0" fontId="25" fillId="17" borderId="3" xfId="0" applyFont="1" applyFill="1" applyBorder="1"/>
    <xf numFmtId="0" fontId="19" fillId="17" borderId="12" xfId="0" applyFont="1" applyFill="1" applyBorder="1"/>
    <xf numFmtId="0" fontId="19" fillId="17" borderId="13" xfId="0" applyFont="1" applyFill="1" applyBorder="1"/>
    <xf numFmtId="0" fontId="24" fillId="10" borderId="9" xfId="0" applyFont="1" applyFill="1" applyBorder="1" applyAlignment="1">
      <alignment horizontal="center"/>
    </xf>
    <xf numFmtId="0" fontId="24" fillId="10" borderId="10" xfId="0" applyFont="1" applyFill="1" applyBorder="1" applyAlignment="1">
      <alignment horizontal="center"/>
    </xf>
    <xf numFmtId="0" fontId="24" fillId="10" borderId="11" xfId="0" applyFont="1" applyFill="1" applyBorder="1" applyAlignment="1">
      <alignment horizontal="center"/>
    </xf>
    <xf numFmtId="0" fontId="19" fillId="10" borderId="9" xfId="0" applyFont="1" applyFill="1" applyBorder="1" applyAlignment="1">
      <alignment horizontal="center"/>
    </xf>
    <xf numFmtId="0" fontId="19" fillId="10" borderId="3" xfId="0" applyFont="1" applyFill="1" applyBorder="1"/>
    <xf numFmtId="0" fontId="19" fillId="10" borderId="3" xfId="0" quotePrefix="1" applyFont="1" applyFill="1" applyBorder="1" applyAlignment="1">
      <alignment horizontal="right"/>
    </xf>
    <xf numFmtId="0" fontId="19" fillId="10" borderId="3" xfId="0" applyFont="1" applyFill="1" applyBorder="1" applyAlignment="1">
      <alignment horizontal="right"/>
    </xf>
    <xf numFmtId="0" fontId="19" fillId="10" borderId="12" xfId="0" applyFont="1" applyFill="1" applyBorder="1" applyAlignment="1">
      <alignment horizontal="right"/>
    </xf>
    <xf numFmtId="164" fontId="0" fillId="4" borderId="3" xfId="0" applyNumberFormat="1" applyFill="1" applyBorder="1" applyAlignment="1" applyProtection="1">
      <alignment horizontal="center" wrapText="1"/>
    </xf>
    <xf numFmtId="0" fontId="16" fillId="4" borderId="3" xfId="0" applyFont="1" applyFill="1" applyBorder="1" applyAlignment="1" applyProtection="1">
      <alignment horizontal="left" vertical="center"/>
    </xf>
    <xf numFmtId="0" fontId="12" fillId="4" borderId="0" xfId="0" applyFont="1" applyFill="1" applyBorder="1" applyAlignment="1" applyProtection="1">
      <alignment horizontal="left" wrapText="1"/>
    </xf>
    <xf numFmtId="0" fontId="16" fillId="4" borderId="12" xfId="0" applyFont="1" applyFill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/>
    </xf>
    <xf numFmtId="0" fontId="0" fillId="0" borderId="0" xfId="0" applyBorder="1" applyProtection="1"/>
    <xf numFmtId="9" fontId="9" fillId="0" borderId="0" xfId="0" applyNumberFormat="1" applyFont="1" applyBorder="1" applyAlignment="1">
      <alignment horizontal="center"/>
    </xf>
    <xf numFmtId="0" fontId="9" fillId="0" borderId="0" xfId="0" applyFont="1" applyBorder="1"/>
    <xf numFmtId="0" fontId="16" fillId="18" borderId="0" xfId="0" applyFont="1" applyFill="1" applyBorder="1"/>
    <xf numFmtId="0" fontId="16" fillId="0" borderId="12" xfId="0" applyFont="1" applyFill="1" applyBorder="1" applyAlignment="1">
      <alignment horizontal="left"/>
    </xf>
    <xf numFmtId="0" fontId="16" fillId="0" borderId="109" xfId="0" applyFont="1" applyFill="1" applyBorder="1" applyProtection="1">
      <protection locked="0"/>
    </xf>
    <xf numFmtId="0" fontId="16" fillId="0" borderId="110" xfId="0" applyFont="1" applyFill="1" applyBorder="1" applyProtection="1">
      <protection locked="0"/>
    </xf>
    <xf numFmtId="0" fontId="7" fillId="4" borderId="3" xfId="0" applyFont="1" applyFill="1" applyBorder="1" applyAlignment="1" applyProtection="1">
      <alignment horizontal="left" vertical="center"/>
    </xf>
    <xf numFmtId="9" fontId="16" fillId="4" borderId="3" xfId="1" applyFont="1" applyFill="1" applyBorder="1" applyAlignment="1" applyProtection="1">
      <alignment horizontal="center" vertical="center" wrapText="1"/>
    </xf>
    <xf numFmtId="9" fontId="16" fillId="4" borderId="0" xfId="1" applyFont="1" applyFill="1" applyBorder="1" applyAlignment="1" applyProtection="1">
      <alignment horizontal="center" vertical="center" wrapText="1"/>
    </xf>
    <xf numFmtId="1" fontId="16" fillId="4" borderId="4" xfId="0" applyNumberFormat="1" applyFont="1" applyFill="1" applyBorder="1" applyAlignment="1" applyProtection="1">
      <alignment horizontal="center" vertical="center" wrapText="1"/>
    </xf>
    <xf numFmtId="0" fontId="16" fillId="4" borderId="48" xfId="0" applyFont="1" applyFill="1" applyBorder="1" applyAlignment="1" applyProtection="1">
      <alignment horizontal="left" vertical="center"/>
    </xf>
    <xf numFmtId="0" fontId="16" fillId="4" borderId="2" xfId="0" applyFont="1" applyFill="1" applyBorder="1" applyAlignment="1" applyProtection="1">
      <alignment horizontal="left" vertical="center"/>
    </xf>
    <xf numFmtId="2" fontId="18" fillId="4" borderId="14" xfId="0" applyNumberFormat="1" applyFont="1" applyFill="1" applyBorder="1" applyAlignment="1" applyProtection="1">
      <alignment horizontal="center" vertical="center" wrapText="1"/>
    </xf>
    <xf numFmtId="2" fontId="18" fillId="4" borderId="15" xfId="0" applyNumberFormat="1" applyFont="1" applyFill="1" applyBorder="1" applyAlignment="1" applyProtection="1">
      <alignment horizontal="center" vertical="center" wrapText="1"/>
    </xf>
    <xf numFmtId="2" fontId="18" fillId="4" borderId="16" xfId="0" applyNumberFormat="1" applyFont="1" applyFill="1" applyBorder="1" applyAlignment="1" applyProtection="1">
      <alignment horizontal="center" vertical="center" wrapText="1"/>
    </xf>
    <xf numFmtId="2" fontId="6" fillId="0" borderId="26" xfId="0" applyNumberFormat="1" applyFont="1" applyBorder="1" applyProtection="1"/>
    <xf numFmtId="9" fontId="16" fillId="4" borderId="91" xfId="1" applyFont="1" applyFill="1" applyBorder="1" applyAlignment="1" applyProtection="1">
      <alignment horizontal="center" vertical="center" wrapText="1"/>
    </xf>
    <xf numFmtId="173" fontId="18" fillId="4" borderId="91" xfId="0" applyNumberFormat="1" applyFont="1" applyFill="1" applyBorder="1" applyAlignment="1" applyProtection="1">
      <alignment horizontal="center" vertical="center" wrapText="1"/>
    </xf>
    <xf numFmtId="0" fontId="0" fillId="0" borderId="91" xfId="0" applyFill="1" applyBorder="1" applyAlignment="1" applyProtection="1">
      <alignment horizontal="center" wrapText="1"/>
    </xf>
    <xf numFmtId="173" fontId="16" fillId="4" borderId="91" xfId="2" applyNumberFormat="1" applyFont="1" applyFill="1" applyBorder="1" applyAlignment="1" applyProtection="1">
      <alignment horizontal="center" vertical="center" wrapText="1"/>
    </xf>
    <xf numFmtId="173" fontId="18" fillId="4" borderId="91" xfId="2" applyNumberFormat="1" applyFont="1" applyFill="1" applyBorder="1" applyAlignment="1" applyProtection="1">
      <alignment horizontal="center" vertical="center" wrapText="1"/>
    </xf>
    <xf numFmtId="1" fontId="16" fillId="10" borderId="28" xfId="0" applyNumberFormat="1" applyFont="1" applyFill="1" applyBorder="1" applyAlignment="1">
      <alignment horizontal="right"/>
    </xf>
    <xf numFmtId="176" fontId="0" fillId="0" borderId="1" xfId="0" applyNumberFormat="1" applyFont="1" applyBorder="1" applyAlignment="1">
      <alignment horizontal="center"/>
    </xf>
    <xf numFmtId="0" fontId="22" fillId="15" borderId="14" xfId="0" applyFont="1" applyFill="1" applyBorder="1" applyAlignment="1"/>
    <xf numFmtId="0" fontId="22" fillId="15" borderId="15" xfId="0" applyFont="1" applyFill="1" applyBorder="1" applyAlignment="1"/>
    <xf numFmtId="173" fontId="0" fillId="0" borderId="1" xfId="0" applyNumberFormat="1" applyFont="1" applyBorder="1"/>
    <xf numFmtId="0" fontId="22" fillId="16" borderId="87" xfId="0" applyFont="1" applyFill="1" applyBorder="1" applyAlignment="1" applyProtection="1">
      <alignment horizontal="center"/>
    </xf>
    <xf numFmtId="0" fontId="22" fillId="16" borderId="96" xfId="0" applyFont="1" applyFill="1" applyBorder="1" applyAlignment="1" applyProtection="1">
      <alignment horizontal="center"/>
    </xf>
    <xf numFmtId="171" fontId="16" fillId="0" borderId="3" xfId="0" applyNumberFormat="1" applyFont="1" applyFill="1" applyBorder="1" applyProtection="1">
      <protection locked="0"/>
    </xf>
    <xf numFmtId="0" fontId="32" fillId="0" borderId="3" xfId="0" applyFont="1" applyFill="1" applyBorder="1" applyAlignment="1" applyProtection="1">
      <alignment horizontal="center" vertical="center" wrapText="1"/>
      <protection locked="0"/>
    </xf>
    <xf numFmtId="1" fontId="16" fillId="4" borderId="12" xfId="0" applyNumberFormat="1" applyFont="1" applyFill="1" applyBorder="1" applyAlignment="1" applyProtection="1">
      <alignment horizontal="center" vertical="center" wrapText="1"/>
    </xf>
    <xf numFmtId="173" fontId="39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10" borderId="86" xfId="0" applyFont="1" applyFill="1" applyBorder="1" applyAlignment="1" applyProtection="1">
      <alignment horizontal="center"/>
    </xf>
    <xf numFmtId="9" fontId="18" fillId="0" borderId="0" xfId="1" applyFont="1" applyProtection="1"/>
    <xf numFmtId="0" fontId="5" fillId="4" borderId="12" xfId="0" applyFont="1" applyFill="1" applyBorder="1" applyProtection="1"/>
    <xf numFmtId="173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49" xfId="0" applyFont="1" applyFill="1" applyBorder="1" applyAlignment="1" applyProtection="1">
      <alignment horizontal="left" vertical="center"/>
    </xf>
    <xf numFmtId="175" fontId="35" fillId="4" borderId="3" xfId="0" applyNumberFormat="1" applyFont="1" applyFill="1" applyBorder="1" applyAlignment="1" applyProtection="1">
      <alignment horizontal="center" vertical="center" wrapText="1"/>
    </xf>
    <xf numFmtId="175" fontId="35" fillId="4" borderId="0" xfId="0" applyNumberFormat="1" applyFont="1" applyFill="1" applyBorder="1" applyAlignment="1" applyProtection="1">
      <alignment horizontal="center" vertical="center" wrapText="1"/>
    </xf>
    <xf numFmtId="175" fontId="35" fillId="4" borderId="8" xfId="0" applyNumberFormat="1" applyFont="1" applyFill="1" applyBorder="1" applyAlignment="1" applyProtection="1">
      <alignment horizontal="center" vertical="center" wrapText="1"/>
    </xf>
    <xf numFmtId="175" fontId="35" fillId="4" borderId="12" xfId="0" applyNumberFormat="1" applyFont="1" applyFill="1" applyBorder="1" applyAlignment="1" applyProtection="1">
      <alignment horizontal="center" vertical="center" wrapText="1"/>
    </xf>
    <xf numFmtId="175" fontId="35" fillId="4" borderId="4" xfId="0" applyNumberFormat="1" applyFont="1" applyFill="1" applyBorder="1" applyAlignment="1" applyProtection="1">
      <alignment horizontal="center" vertical="center" wrapText="1"/>
    </xf>
    <xf numFmtId="175" fontId="35" fillId="4" borderId="13" xfId="0" applyNumberFormat="1" applyFont="1" applyFill="1" applyBorder="1" applyAlignment="1" applyProtection="1">
      <alignment horizontal="center" vertical="center" wrapText="1"/>
    </xf>
    <xf numFmtId="2" fontId="23" fillId="4" borderId="29" xfId="0" applyNumberFormat="1" applyFont="1" applyFill="1" applyBorder="1" applyAlignment="1" applyProtection="1">
      <alignment horizontal="center" vertical="center"/>
      <protection locked="0"/>
    </xf>
    <xf numFmtId="2" fontId="23" fillId="4" borderId="28" xfId="0" applyNumberFormat="1" applyFont="1" applyFill="1" applyBorder="1" applyAlignment="1" applyProtection="1">
      <alignment horizontal="center" vertical="center"/>
      <protection locked="0"/>
    </xf>
    <xf numFmtId="2" fontId="23" fillId="4" borderId="80" xfId="0" applyNumberFormat="1" applyFont="1" applyFill="1" applyBorder="1" applyAlignment="1" applyProtection="1">
      <alignment horizontal="center" vertical="center"/>
      <protection locked="0"/>
    </xf>
    <xf numFmtId="2" fontId="23" fillId="4" borderId="0" xfId="0" applyNumberFormat="1" applyFont="1" applyFill="1" applyBorder="1" applyProtection="1"/>
    <xf numFmtId="2" fontId="23" fillId="4" borderId="3" xfId="0" applyNumberFormat="1" applyFont="1" applyFill="1" applyBorder="1" applyProtection="1"/>
    <xf numFmtId="2" fontId="23" fillId="4" borderId="8" xfId="0" applyNumberFormat="1" applyFont="1" applyFill="1" applyBorder="1" applyProtection="1"/>
    <xf numFmtId="2" fontId="23" fillId="4" borderId="27" xfId="0" applyNumberFormat="1" applyFont="1" applyFill="1" applyBorder="1" applyAlignment="1" applyProtection="1">
      <alignment horizontal="center" vertical="center"/>
      <protection locked="0"/>
    </xf>
    <xf numFmtId="2" fontId="23" fillId="4" borderId="81" xfId="0" applyNumberFormat="1" applyFont="1" applyFill="1" applyBorder="1" applyAlignment="1" applyProtection="1">
      <alignment horizontal="center" vertical="center"/>
      <protection locked="0"/>
    </xf>
    <xf numFmtId="2" fontId="23" fillId="4" borderId="82" xfId="0" applyNumberFormat="1" applyFont="1" applyFill="1" applyBorder="1" applyAlignment="1" applyProtection="1">
      <alignment horizontal="center" vertical="center"/>
      <protection locked="0"/>
    </xf>
    <xf numFmtId="2" fontId="23" fillId="4" borderId="4" xfId="0" applyNumberFormat="1" applyFont="1" applyFill="1" applyBorder="1" applyProtection="1"/>
    <xf numFmtId="2" fontId="23" fillId="4" borderId="12" xfId="0" applyNumberFormat="1" applyFont="1" applyFill="1" applyBorder="1" applyProtection="1"/>
    <xf numFmtId="2" fontId="23" fillId="4" borderId="13" xfId="0" applyNumberFormat="1" applyFont="1" applyFill="1" applyBorder="1" applyProtection="1"/>
    <xf numFmtId="177" fontId="18" fillId="0" borderId="97" xfId="0" applyNumberFormat="1" applyFont="1" applyFill="1" applyBorder="1" applyAlignment="1" applyProtection="1">
      <alignment horizontal="center" vertical="center" wrapText="1"/>
      <protection locked="0"/>
    </xf>
    <xf numFmtId="177" fontId="9" fillId="0" borderId="97" xfId="0" applyNumberFormat="1" applyFont="1" applyFill="1" applyBorder="1" applyAlignment="1" applyProtection="1">
      <alignment horizontal="center" vertical="center" wrapText="1"/>
      <protection locked="0"/>
    </xf>
    <xf numFmtId="177" fontId="9" fillId="0" borderId="100" xfId="0" applyNumberFormat="1" applyFont="1" applyFill="1" applyBorder="1" applyAlignment="1" applyProtection="1">
      <alignment horizontal="center" vertical="center" wrapText="1"/>
      <protection locked="0"/>
    </xf>
    <xf numFmtId="177" fontId="18" fillId="4" borderId="3" xfId="0" applyNumberFormat="1" applyFont="1" applyFill="1" applyBorder="1" applyAlignment="1" applyProtection="1">
      <alignment horizontal="center" vertical="center" wrapText="1"/>
      <protection locked="0"/>
    </xf>
    <xf numFmtId="177" fontId="18" fillId="4" borderId="0" xfId="0" applyNumberFormat="1" applyFont="1" applyFill="1" applyBorder="1" applyAlignment="1" applyProtection="1">
      <alignment horizontal="center" vertical="center" wrapText="1"/>
      <protection locked="0"/>
    </xf>
    <xf numFmtId="177" fontId="18" fillId="4" borderId="8" xfId="0" applyNumberFormat="1" applyFont="1" applyFill="1" applyBorder="1" applyAlignment="1" applyProtection="1">
      <alignment horizontal="center" vertical="center" wrapText="1"/>
      <protection locked="0"/>
    </xf>
    <xf numFmtId="177" fontId="18" fillId="0" borderId="71" xfId="0" applyNumberFormat="1" applyFont="1" applyFill="1" applyBorder="1" applyAlignment="1" applyProtection="1">
      <alignment horizontal="center" vertical="center" wrapText="1"/>
      <protection locked="0"/>
    </xf>
    <xf numFmtId="177" fontId="9" fillId="0" borderId="71" xfId="0" applyNumberFormat="1" applyFont="1" applyFill="1" applyBorder="1" applyAlignment="1" applyProtection="1">
      <alignment horizontal="center" vertical="center" wrapText="1"/>
      <protection locked="0"/>
    </xf>
    <xf numFmtId="177" fontId="9" fillId="0" borderId="101" xfId="0" applyNumberFormat="1" applyFont="1" applyFill="1" applyBorder="1" applyAlignment="1" applyProtection="1">
      <alignment horizontal="center" vertical="center" wrapText="1"/>
      <protection locked="0"/>
    </xf>
    <xf numFmtId="177" fontId="23" fillId="0" borderId="3" xfId="0" applyNumberFormat="1" applyFont="1" applyFill="1" applyBorder="1" applyProtection="1"/>
    <xf numFmtId="177" fontId="23" fillId="0" borderId="0" xfId="0" applyNumberFormat="1" applyFont="1" applyFill="1" applyBorder="1" applyProtection="1"/>
    <xf numFmtId="177" fontId="23" fillId="0" borderId="8" xfId="0" applyNumberFormat="1" applyFont="1" applyFill="1" applyBorder="1" applyProtection="1"/>
    <xf numFmtId="177" fontId="18" fillId="0" borderId="98" xfId="0" applyNumberFormat="1" applyFont="1" applyFill="1" applyBorder="1" applyAlignment="1" applyProtection="1">
      <alignment horizontal="center" vertical="center" wrapText="1"/>
      <protection locked="0"/>
    </xf>
    <xf numFmtId="177" fontId="9" fillId="0" borderId="98" xfId="0" applyNumberFormat="1" applyFont="1" applyFill="1" applyBorder="1" applyAlignment="1" applyProtection="1">
      <alignment horizontal="center" vertical="center" wrapText="1"/>
      <protection locked="0"/>
    </xf>
    <xf numFmtId="177" fontId="9" fillId="0" borderId="103" xfId="0" applyNumberFormat="1" applyFont="1" applyFill="1" applyBorder="1" applyAlignment="1" applyProtection="1">
      <alignment horizontal="center" vertical="center" wrapText="1"/>
      <protection locked="0"/>
    </xf>
    <xf numFmtId="177" fontId="18" fillId="0" borderId="3" xfId="0" applyNumberFormat="1" applyFont="1" applyBorder="1" applyAlignment="1" applyProtection="1">
      <alignment horizontal="center"/>
    </xf>
    <xf numFmtId="177" fontId="18" fillId="0" borderId="0" xfId="0" applyNumberFormat="1" applyFont="1" applyBorder="1" applyAlignment="1" applyProtection="1">
      <alignment horizontal="center"/>
    </xf>
    <xf numFmtId="177" fontId="18" fillId="0" borderId="8" xfId="0" applyNumberFormat="1" applyFont="1" applyBorder="1" applyAlignment="1" applyProtection="1">
      <alignment horizontal="center"/>
    </xf>
    <xf numFmtId="177" fontId="18" fillId="15" borderId="15" xfId="0" applyNumberFormat="1" applyFont="1" applyFill="1" applyBorder="1" applyProtection="1"/>
    <xf numFmtId="177" fontId="9" fillId="15" borderId="15" xfId="0" applyNumberFormat="1" applyFont="1" applyFill="1" applyBorder="1"/>
    <xf numFmtId="177" fontId="9" fillId="15" borderId="16" xfId="0" applyNumberFormat="1" applyFont="1" applyFill="1" applyBorder="1"/>
    <xf numFmtId="177" fontId="18" fillId="15" borderId="14" xfId="0" applyNumberFormat="1" applyFont="1" applyFill="1" applyBorder="1" applyProtection="1"/>
    <xf numFmtId="177" fontId="18" fillId="15" borderId="16" xfId="0" applyNumberFormat="1" applyFont="1" applyFill="1" applyBorder="1" applyProtection="1"/>
    <xf numFmtId="177" fontId="18" fillId="0" borderId="57" xfId="0" applyNumberFormat="1" applyFont="1" applyFill="1" applyBorder="1" applyAlignment="1" applyProtection="1">
      <alignment horizontal="center" vertical="center"/>
      <protection locked="0"/>
    </xf>
    <xf numFmtId="177" fontId="9" fillId="0" borderId="57" xfId="0" applyNumberFormat="1" applyFont="1" applyFill="1" applyBorder="1" applyAlignment="1" applyProtection="1">
      <alignment horizontal="center" vertical="center"/>
      <protection locked="0"/>
    </xf>
    <xf numFmtId="177" fontId="9" fillId="0" borderId="105" xfId="0" applyNumberFormat="1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18" fillId="0" borderId="8" xfId="0" applyNumberFormat="1" applyFont="1" applyFill="1" applyBorder="1" applyAlignment="1" applyProtection="1">
      <alignment horizontal="center" vertical="center" wrapText="1"/>
      <protection locked="0"/>
    </xf>
    <xf numFmtId="177" fontId="18" fillId="0" borderId="73" xfId="0" applyNumberFormat="1" applyFont="1" applyFill="1" applyBorder="1" applyAlignment="1" applyProtection="1">
      <alignment horizontal="center" vertical="center" wrapText="1"/>
      <protection locked="0"/>
    </xf>
    <xf numFmtId="177" fontId="9" fillId="0" borderId="73" xfId="0" applyNumberFormat="1" applyFont="1" applyFill="1" applyBorder="1" applyAlignment="1" applyProtection="1">
      <alignment horizontal="center" vertical="center" wrapText="1"/>
      <protection locked="0"/>
    </xf>
    <xf numFmtId="177" fontId="9" fillId="0" borderId="106" xfId="0" applyNumberFormat="1" applyFont="1" applyFill="1" applyBorder="1" applyAlignment="1" applyProtection="1">
      <alignment horizontal="center" vertical="center" wrapText="1"/>
      <protection locked="0"/>
    </xf>
    <xf numFmtId="177" fontId="18" fillId="0" borderId="12" xfId="0" applyNumberFormat="1" applyFont="1" applyFill="1" applyBorder="1" applyAlignment="1" applyProtection="1">
      <alignment horizontal="center"/>
    </xf>
    <xf numFmtId="177" fontId="18" fillId="0" borderId="4" xfId="0" applyNumberFormat="1" applyFont="1" applyFill="1" applyBorder="1" applyAlignment="1" applyProtection="1">
      <alignment horizontal="center"/>
    </xf>
    <xf numFmtId="177" fontId="18" fillId="0" borderId="13" xfId="0" applyNumberFormat="1" applyFont="1" applyFill="1" applyBorder="1" applyAlignment="1" applyProtection="1">
      <alignment horizontal="center"/>
    </xf>
    <xf numFmtId="177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center" vertical="center" wrapText="1"/>
      <protection locked="0"/>
    </xf>
    <xf numFmtId="177" fontId="18" fillId="15" borderId="0" xfId="0" applyNumberFormat="1" applyFont="1" applyFill="1" applyBorder="1" applyProtection="1"/>
    <xf numFmtId="177" fontId="18" fillId="15" borderId="8" xfId="0" applyNumberFormat="1" applyFont="1" applyFill="1" applyBorder="1" applyProtection="1"/>
    <xf numFmtId="177" fontId="18" fillId="15" borderId="3" xfId="0" applyNumberFormat="1" applyFont="1" applyFill="1" applyBorder="1" applyProtection="1"/>
    <xf numFmtId="177" fontId="18" fillId="4" borderId="0" xfId="0" applyNumberFormat="1" applyFont="1" applyFill="1" applyBorder="1" applyAlignment="1" applyProtection="1">
      <alignment horizontal="center" vertical="center" wrapText="1"/>
    </xf>
    <xf numFmtId="177" fontId="18" fillId="4" borderId="8" xfId="0" applyNumberFormat="1" applyFont="1" applyFill="1" applyBorder="1" applyAlignment="1" applyProtection="1">
      <alignment horizontal="center" vertical="center" wrapText="1"/>
    </xf>
    <xf numFmtId="177" fontId="18" fillId="4" borderId="3" xfId="0" applyNumberFormat="1" applyFont="1" applyFill="1" applyBorder="1" applyAlignment="1" applyProtection="1">
      <alignment horizontal="center" vertical="center" wrapText="1"/>
    </xf>
    <xf numFmtId="177" fontId="18" fillId="4" borderId="5" xfId="0" applyNumberFormat="1" applyFont="1" applyFill="1" applyBorder="1" applyAlignment="1" applyProtection="1">
      <alignment horizontal="center" vertical="center" wrapText="1"/>
    </xf>
    <xf numFmtId="177" fontId="18" fillId="4" borderId="19" xfId="0" applyNumberFormat="1" applyFont="1" applyFill="1" applyBorder="1" applyAlignment="1" applyProtection="1">
      <alignment horizontal="center" vertical="center" wrapText="1"/>
    </xf>
    <xf numFmtId="177" fontId="18" fillId="4" borderId="12" xfId="0" applyNumberFormat="1" applyFont="1" applyFill="1" applyBorder="1" applyAlignment="1" applyProtection="1">
      <alignment horizontal="center" vertical="center" wrapText="1"/>
    </xf>
    <xf numFmtId="177" fontId="18" fillId="4" borderId="4" xfId="0" applyNumberFormat="1" applyFont="1" applyFill="1" applyBorder="1" applyAlignment="1" applyProtection="1">
      <alignment horizontal="center" vertical="center" wrapText="1"/>
    </xf>
    <xf numFmtId="177" fontId="18" fillId="4" borderId="13" xfId="0" applyNumberFormat="1" applyFont="1" applyFill="1" applyBorder="1" applyAlignment="1" applyProtection="1">
      <alignment horizontal="center" vertical="center" wrapText="1"/>
    </xf>
    <xf numFmtId="178" fontId="18" fillId="0" borderId="91" xfId="0" applyNumberFormat="1" applyFont="1" applyFill="1" applyBorder="1" applyAlignment="1" applyProtection="1">
      <alignment horizontal="center" vertical="center" wrapText="1"/>
      <protection locked="0"/>
    </xf>
    <xf numFmtId="178" fontId="0" fillId="0" borderId="91" xfId="0" applyNumberFormat="1" applyFill="1" applyBorder="1" applyProtection="1">
      <protection locked="0"/>
    </xf>
    <xf numFmtId="172" fontId="16" fillId="4" borderId="91" xfId="0" applyNumberFormat="1" applyFont="1" applyFill="1" applyBorder="1" applyAlignment="1" applyProtection="1">
      <alignment horizontal="center" vertical="center" wrapText="1"/>
    </xf>
    <xf numFmtId="165" fontId="18" fillId="0" borderId="0" xfId="1" applyNumberFormat="1" applyFont="1" applyBorder="1" applyProtection="1"/>
    <xf numFmtId="179" fontId="0" fillId="0" borderId="10" xfId="0" applyNumberFormat="1" applyBorder="1"/>
    <xf numFmtId="179" fontId="0" fillId="0" borderId="48" xfId="0" applyNumberFormat="1" applyBorder="1"/>
    <xf numFmtId="179" fontId="0" fillId="0" borderId="11" xfId="0" applyNumberFormat="1" applyBorder="1"/>
    <xf numFmtId="179" fontId="0" fillId="0" borderId="4" xfId="0" applyNumberFormat="1" applyBorder="1"/>
    <xf numFmtId="179" fontId="0" fillId="0" borderId="2" xfId="0" applyNumberFormat="1" applyBorder="1"/>
    <xf numFmtId="179" fontId="0" fillId="0" borderId="13" xfId="0" applyNumberFormat="1" applyBorder="1"/>
    <xf numFmtId="10" fontId="0" fillId="0" borderId="30" xfId="0" applyNumberFormat="1" applyBorder="1" applyProtection="1"/>
    <xf numFmtId="10" fontId="0" fillId="0" borderId="93" xfId="0" applyNumberFormat="1" applyBorder="1" applyProtection="1"/>
    <xf numFmtId="1" fontId="0" fillId="0" borderId="30" xfId="0" applyNumberFormat="1" applyBorder="1" applyProtection="1"/>
    <xf numFmtId="1" fontId="0" fillId="0" borderId="93" xfId="0" applyNumberFormat="1" applyBorder="1" applyProtection="1"/>
    <xf numFmtId="1" fontId="22" fillId="10" borderId="91" xfId="0" applyNumberFormat="1" applyFont="1" applyFill="1" applyBorder="1" applyAlignment="1" applyProtection="1">
      <alignment horizontal="center" vertical="center"/>
    </xf>
    <xf numFmtId="0" fontId="22" fillId="10" borderId="91" xfId="0" applyFont="1" applyFill="1" applyBorder="1" applyAlignment="1" applyProtection="1">
      <alignment horizontal="center"/>
    </xf>
    <xf numFmtId="0" fontId="22" fillId="16" borderId="91" xfId="0" applyFont="1" applyFill="1" applyBorder="1" applyAlignment="1" applyProtection="1">
      <alignment horizontal="center"/>
    </xf>
    <xf numFmtId="178" fontId="23" fillId="0" borderId="91" xfId="0" applyNumberFormat="1" applyFont="1" applyFill="1" applyBorder="1" applyAlignment="1" applyProtection="1">
      <alignment horizontal="center" vertical="center"/>
      <protection locked="0"/>
    </xf>
    <xf numFmtId="178" fontId="9" fillId="0" borderId="91" xfId="0" applyNumberFormat="1" applyFont="1" applyFill="1" applyBorder="1" applyAlignment="1" applyProtection="1">
      <alignment horizontal="center" vertical="center" wrapText="1"/>
      <protection locked="0"/>
    </xf>
    <xf numFmtId="164" fontId="0" fillId="4" borderId="91" xfId="0" applyNumberFormat="1" applyFill="1" applyBorder="1" applyAlignment="1" applyProtection="1">
      <alignment horizontal="center" wrapText="1"/>
    </xf>
    <xf numFmtId="164" fontId="0" fillId="0" borderId="91" xfId="0" applyNumberFormat="1" applyFill="1" applyBorder="1" applyAlignment="1" applyProtection="1">
      <alignment horizontal="center" wrapText="1"/>
    </xf>
    <xf numFmtId="0" fontId="0" fillId="0" borderId="91" xfId="0" applyFill="1" applyBorder="1" applyProtection="1"/>
    <xf numFmtId="165" fontId="20" fillId="0" borderId="91" xfId="1" applyNumberFormat="1" applyFont="1" applyFill="1" applyBorder="1" applyAlignment="1" applyProtection="1">
      <alignment horizontal="center" wrapText="1"/>
    </xf>
    <xf numFmtId="0" fontId="16" fillId="18" borderId="56" xfId="0" applyFont="1" applyFill="1" applyBorder="1" applyProtection="1">
      <protection locked="0"/>
    </xf>
    <xf numFmtId="0" fontId="9" fillId="0" borderId="112" xfId="0" applyFont="1" applyFill="1" applyBorder="1" applyProtection="1">
      <protection locked="0"/>
    </xf>
    <xf numFmtId="171" fontId="16" fillId="0" borderId="113" xfId="0" applyNumberFormat="1" applyFont="1" applyFill="1" applyBorder="1" applyProtection="1">
      <protection locked="0"/>
    </xf>
    <xf numFmtId="171" fontId="16" fillId="18" borderId="113" xfId="0" applyNumberFormat="1" applyFont="1" applyFill="1" applyBorder="1" applyProtection="1">
      <protection locked="0"/>
    </xf>
    <xf numFmtId="0" fontId="16" fillId="0" borderId="114" xfId="0" applyFont="1" applyFill="1" applyBorder="1" applyProtection="1">
      <protection locked="0"/>
    </xf>
    <xf numFmtId="0" fontId="0" fillId="0" borderId="91" xfId="0" applyBorder="1" applyProtection="1"/>
    <xf numFmtId="173" fontId="16" fillId="18" borderId="91" xfId="0" applyNumberFormat="1" applyFont="1" applyFill="1" applyBorder="1" applyProtection="1">
      <protection locked="0"/>
    </xf>
    <xf numFmtId="173" fontId="22" fillId="4" borderId="91" xfId="0" applyNumberFormat="1" applyFont="1" applyFill="1" applyBorder="1" applyProtection="1">
      <protection locked="0"/>
    </xf>
    <xf numFmtId="9" fontId="9" fillId="0" borderId="91" xfId="0" applyNumberFormat="1" applyFont="1" applyBorder="1" applyAlignment="1">
      <alignment horizontal="center"/>
    </xf>
    <xf numFmtId="9" fontId="9" fillId="4" borderId="91" xfId="0" applyNumberFormat="1" applyFont="1" applyFill="1" applyBorder="1"/>
    <xf numFmtId="0" fontId="9" fillId="0" borderId="91" xfId="0" applyFont="1" applyFill="1" applyBorder="1" applyProtection="1">
      <protection locked="0"/>
    </xf>
    <xf numFmtId="0" fontId="9" fillId="4" borderId="91" xfId="0" applyFont="1" applyFill="1" applyBorder="1" applyProtection="1">
      <protection locked="0"/>
    </xf>
    <xf numFmtId="165" fontId="9" fillId="0" borderId="91" xfId="0" applyNumberFormat="1" applyFont="1" applyBorder="1" applyAlignment="1">
      <alignment horizontal="center"/>
    </xf>
    <xf numFmtId="0" fontId="9" fillId="4" borderId="91" xfId="0" applyFont="1" applyFill="1" applyBorder="1"/>
    <xf numFmtId="10" fontId="9" fillId="0" borderId="91" xfId="0" applyNumberFormat="1" applyFont="1" applyBorder="1" applyAlignment="1">
      <alignment horizontal="center"/>
    </xf>
    <xf numFmtId="171" fontId="16" fillId="0" borderId="91" xfId="0" applyNumberFormat="1" applyFont="1" applyFill="1" applyBorder="1" applyProtection="1">
      <protection locked="0"/>
    </xf>
    <xf numFmtId="173" fontId="16" fillId="0" borderId="91" xfId="2" applyNumberFormat="1" applyFont="1" applyFill="1" applyBorder="1" applyProtection="1">
      <protection locked="0"/>
    </xf>
    <xf numFmtId="173" fontId="16" fillId="4" borderId="91" xfId="2" applyNumberFormat="1" applyFont="1" applyFill="1" applyBorder="1" applyProtection="1">
      <protection locked="0"/>
    </xf>
    <xf numFmtId="171" fontId="16" fillId="18" borderId="91" xfId="0" applyNumberFormat="1" applyFont="1" applyFill="1" applyBorder="1" applyProtection="1">
      <protection locked="0"/>
    </xf>
    <xf numFmtId="173" fontId="16" fillId="4" borderId="91" xfId="0" applyNumberFormat="1" applyFont="1" applyFill="1" applyBorder="1" applyProtection="1">
      <protection locked="0"/>
    </xf>
    <xf numFmtId="173" fontId="16" fillId="0" borderId="91" xfId="0" applyNumberFormat="1" applyFont="1" applyFill="1" applyBorder="1" applyProtection="1">
      <protection locked="0"/>
    </xf>
    <xf numFmtId="173" fontId="9" fillId="4" borderId="91" xfId="0" applyNumberFormat="1" applyFont="1" applyFill="1" applyBorder="1" applyProtection="1">
      <protection locked="0"/>
    </xf>
    <xf numFmtId="0" fontId="9" fillId="0" borderId="91" xfId="0" applyFont="1" applyBorder="1"/>
    <xf numFmtId="0" fontId="16" fillId="18" borderId="91" xfId="0" applyFont="1" applyFill="1" applyBorder="1"/>
    <xf numFmtId="173" fontId="16" fillId="18" borderId="91" xfId="0" applyNumberFormat="1" applyFont="1" applyFill="1" applyBorder="1"/>
    <xf numFmtId="173" fontId="16" fillId="4" borderId="91" xfId="0" applyNumberFormat="1" applyFont="1" applyFill="1" applyBorder="1"/>
    <xf numFmtId="174" fontId="16" fillId="0" borderId="91" xfId="0" applyNumberFormat="1" applyFont="1" applyFill="1" applyBorder="1" applyProtection="1">
      <protection locked="0"/>
    </xf>
    <xf numFmtId="174" fontId="9" fillId="4" borderId="91" xfId="0" applyNumberFormat="1" applyFont="1" applyFill="1" applyBorder="1" applyProtection="1">
      <protection locked="0"/>
    </xf>
    <xf numFmtId="173" fontId="9" fillId="0" borderId="91" xfId="0" applyNumberFormat="1" applyFont="1" applyBorder="1"/>
    <xf numFmtId="173" fontId="9" fillId="4" borderId="91" xfId="0" applyNumberFormat="1" applyFont="1" applyFill="1" applyBorder="1"/>
    <xf numFmtId="173" fontId="22" fillId="10" borderId="91" xfId="0" applyNumberFormat="1" applyFont="1" applyFill="1" applyBorder="1" applyProtection="1">
      <protection locked="0"/>
    </xf>
    <xf numFmtId="9" fontId="0" fillId="0" borderId="91" xfId="0" applyNumberFormat="1" applyBorder="1" applyAlignment="1">
      <alignment horizontal="center"/>
    </xf>
    <xf numFmtId="172" fontId="0" fillId="16" borderId="91" xfId="0" applyNumberFormat="1" applyFill="1" applyBorder="1" applyAlignment="1">
      <alignment horizontal="center"/>
    </xf>
    <xf numFmtId="172" fontId="0" fillId="0" borderId="91" xfId="0" applyNumberFormat="1" applyBorder="1" applyAlignment="1">
      <alignment horizontal="center"/>
    </xf>
    <xf numFmtId="0" fontId="3" fillId="4" borderId="91" xfId="0" applyFont="1" applyFill="1" applyBorder="1" applyProtection="1">
      <protection locked="0"/>
    </xf>
    <xf numFmtId="0" fontId="22" fillId="10" borderId="87" xfId="0" applyFont="1" applyFill="1" applyBorder="1" applyAlignment="1" applyProtection="1">
      <alignment horizontal="center"/>
    </xf>
    <xf numFmtId="0" fontId="0" fillId="0" borderId="111" xfId="0" applyBorder="1" applyProtection="1"/>
    <xf numFmtId="0" fontId="0" fillId="0" borderId="92" xfId="0" applyBorder="1" applyProtection="1"/>
    <xf numFmtId="0" fontId="16" fillId="18" borderId="111" xfId="0" applyFont="1" applyFill="1" applyBorder="1" applyProtection="1">
      <protection locked="0"/>
    </xf>
    <xf numFmtId="173" fontId="22" fillId="4" borderId="92" xfId="0" applyNumberFormat="1" applyFont="1" applyFill="1" applyBorder="1" applyProtection="1">
      <protection locked="0"/>
    </xf>
    <xf numFmtId="9" fontId="9" fillId="0" borderId="111" xfId="0" applyNumberFormat="1" applyFont="1" applyBorder="1" applyAlignment="1">
      <alignment horizontal="center"/>
    </xf>
    <xf numFmtId="9" fontId="9" fillId="4" borderId="92" xfId="0" applyNumberFormat="1" applyFont="1" applyFill="1" applyBorder="1"/>
    <xf numFmtId="0" fontId="9" fillId="0" borderId="111" xfId="0" applyFont="1" applyFill="1" applyBorder="1" applyProtection="1">
      <protection locked="0"/>
    </xf>
    <xf numFmtId="0" fontId="9" fillId="4" borderId="92" xfId="0" applyFont="1" applyFill="1" applyBorder="1" applyProtection="1">
      <protection locked="0"/>
    </xf>
    <xf numFmtId="165" fontId="9" fillId="0" borderId="111" xfId="0" applyNumberFormat="1" applyFont="1" applyBorder="1" applyAlignment="1">
      <alignment horizontal="center"/>
    </xf>
    <xf numFmtId="165" fontId="9" fillId="0" borderId="92" xfId="0" applyNumberFormat="1" applyFont="1" applyBorder="1" applyAlignment="1">
      <alignment horizontal="center"/>
    </xf>
    <xf numFmtId="173" fontId="16" fillId="18" borderId="111" xfId="0" applyNumberFormat="1" applyFont="1" applyFill="1" applyBorder="1" applyProtection="1">
      <protection locked="0"/>
    </xf>
    <xf numFmtId="10" fontId="9" fillId="0" borderId="92" xfId="0" applyNumberFormat="1" applyFont="1" applyBorder="1" applyAlignment="1">
      <alignment horizontal="center"/>
    </xf>
    <xf numFmtId="171" fontId="16" fillId="0" borderId="111" xfId="0" applyNumberFormat="1" applyFont="1" applyFill="1" applyBorder="1" applyProtection="1">
      <protection locked="0"/>
    </xf>
    <xf numFmtId="173" fontId="16" fillId="4" borderId="92" xfId="2" applyNumberFormat="1" applyFont="1" applyFill="1" applyBorder="1" applyProtection="1">
      <protection locked="0"/>
    </xf>
    <xf numFmtId="171" fontId="16" fillId="18" borderId="111" xfId="0" applyNumberFormat="1" applyFont="1" applyFill="1" applyBorder="1" applyProtection="1">
      <protection locked="0"/>
    </xf>
    <xf numFmtId="173" fontId="16" fillId="4" borderId="92" xfId="0" applyNumberFormat="1" applyFont="1" applyFill="1" applyBorder="1" applyProtection="1">
      <protection locked="0"/>
    </xf>
    <xf numFmtId="10" fontId="9" fillId="0" borderId="111" xfId="0" applyNumberFormat="1" applyFont="1" applyBorder="1" applyAlignment="1">
      <alignment horizontal="center"/>
    </xf>
    <xf numFmtId="9" fontId="9" fillId="0" borderId="92" xfId="0" applyNumberFormat="1" applyFont="1" applyBorder="1" applyAlignment="1">
      <alignment horizontal="center"/>
    </xf>
    <xf numFmtId="173" fontId="9" fillId="4" borderId="92" xfId="0" applyNumberFormat="1" applyFont="1" applyFill="1" applyBorder="1" applyProtection="1">
      <protection locked="0"/>
    </xf>
    <xf numFmtId="0" fontId="9" fillId="0" borderId="111" xfId="0" applyFont="1" applyBorder="1"/>
    <xf numFmtId="0" fontId="9" fillId="4" borderId="92" xfId="0" applyFont="1" applyFill="1" applyBorder="1"/>
    <xf numFmtId="0" fontId="16" fillId="18" borderId="111" xfId="0" applyFont="1" applyFill="1" applyBorder="1"/>
    <xf numFmtId="173" fontId="16" fillId="4" borderId="92" xfId="0" applyNumberFormat="1" applyFont="1" applyFill="1" applyBorder="1"/>
    <xf numFmtId="174" fontId="9" fillId="4" borderId="92" xfId="0" applyNumberFormat="1" applyFont="1" applyFill="1" applyBorder="1" applyProtection="1">
      <protection locked="0"/>
    </xf>
    <xf numFmtId="173" fontId="9" fillId="4" borderId="92" xfId="0" applyNumberFormat="1" applyFont="1" applyFill="1" applyBorder="1"/>
    <xf numFmtId="173" fontId="22" fillId="10" borderId="111" xfId="0" applyNumberFormat="1" applyFont="1" applyFill="1" applyBorder="1" applyProtection="1">
      <protection locked="0"/>
    </xf>
    <xf numFmtId="9" fontId="0" fillId="0" borderId="111" xfId="0" applyNumberFormat="1" applyBorder="1" applyAlignment="1">
      <alignment horizontal="center"/>
    </xf>
    <xf numFmtId="9" fontId="0" fillId="0" borderId="92" xfId="0" applyNumberFormat="1" applyBorder="1" applyAlignment="1">
      <alignment horizontal="center"/>
    </xf>
    <xf numFmtId="2" fontId="0" fillId="16" borderId="111" xfId="0" applyNumberFormat="1" applyFill="1" applyBorder="1" applyAlignment="1">
      <alignment horizontal="center"/>
    </xf>
    <xf numFmtId="172" fontId="0" fillId="0" borderId="92" xfId="0" applyNumberFormat="1" applyBorder="1" applyAlignment="1">
      <alignment horizontal="center"/>
    </xf>
    <xf numFmtId="0" fontId="16" fillId="0" borderId="88" xfId="0" applyFont="1" applyFill="1" applyBorder="1" applyProtection="1">
      <protection locked="0"/>
    </xf>
    <xf numFmtId="0" fontId="16" fillId="0" borderId="89" xfId="0" applyFont="1" applyFill="1" applyBorder="1" applyProtection="1">
      <protection locked="0"/>
    </xf>
    <xf numFmtId="0" fontId="16" fillId="0" borderId="90" xfId="0" applyFont="1" applyFill="1" applyBorder="1" applyProtection="1">
      <protection locked="0"/>
    </xf>
    <xf numFmtId="0" fontId="18" fillId="4" borderId="9" xfId="0" applyFont="1" applyFill="1" applyBorder="1" applyAlignment="1" applyProtection="1">
      <alignment horizontal="center" vertical="center" wrapText="1"/>
    </xf>
    <xf numFmtId="0" fontId="18" fillId="4" borderId="10" xfId="0" applyFont="1" applyFill="1" applyBorder="1" applyAlignment="1" applyProtection="1">
      <alignment horizontal="center" vertical="center" wrapText="1"/>
    </xf>
    <xf numFmtId="0" fontId="18" fillId="4" borderId="11" xfId="0" applyFont="1" applyFill="1" applyBorder="1" applyAlignment="1" applyProtection="1">
      <alignment horizontal="center" vertical="center" wrapText="1"/>
    </xf>
    <xf numFmtId="9" fontId="0" fillId="0" borderId="0" xfId="0" applyNumberFormat="1" applyProtection="1"/>
    <xf numFmtId="9" fontId="0" fillId="4" borderId="0" xfId="1" applyFont="1" applyFill="1" applyBorder="1"/>
    <xf numFmtId="9" fontId="2" fillId="0" borderId="115" xfId="1" applyFont="1" applyFill="1" applyBorder="1" applyAlignment="1" applyProtection="1">
      <alignment horizontal="center" vertical="center" wrapText="1"/>
      <protection locked="0"/>
    </xf>
    <xf numFmtId="0" fontId="40" fillId="16" borderId="14" xfId="0" applyFont="1" applyFill="1" applyBorder="1" applyAlignment="1" applyProtection="1">
      <alignment horizontal="center" vertical="center"/>
      <protection locked="0"/>
    </xf>
    <xf numFmtId="0" fontId="28" fillId="16" borderId="15" xfId="0" applyFont="1" applyFill="1" applyBorder="1" applyAlignment="1" applyProtection="1">
      <alignment horizontal="center" vertical="center"/>
      <protection locked="0"/>
    </xf>
    <xf numFmtId="0" fontId="28" fillId="16" borderId="10" xfId="0" applyFont="1" applyFill="1" applyBorder="1" applyAlignment="1" applyProtection="1">
      <alignment horizontal="center" vertical="center"/>
      <protection locked="0"/>
    </xf>
    <xf numFmtId="0" fontId="28" fillId="16" borderId="11" xfId="0" applyFont="1" applyFill="1" applyBorder="1" applyAlignment="1" applyProtection="1">
      <alignment horizontal="center" vertical="center"/>
      <protection locked="0"/>
    </xf>
    <xf numFmtId="0" fontId="16" fillId="10" borderId="25" xfId="0" applyFont="1" applyFill="1" applyBorder="1" applyAlignment="1" applyProtection="1">
      <alignment horizontal="center"/>
    </xf>
    <xf numFmtId="0" fontId="16" fillId="10" borderId="27" xfId="0" applyFont="1" applyFill="1" applyBorder="1" applyAlignment="1" applyProtection="1">
      <alignment horizontal="center"/>
    </xf>
    <xf numFmtId="0" fontId="16" fillId="10" borderId="26" xfId="0" applyFont="1" applyFill="1" applyBorder="1" applyAlignment="1" applyProtection="1">
      <alignment horizontal="center"/>
    </xf>
    <xf numFmtId="0" fontId="12" fillId="0" borderId="14" xfId="0" applyFont="1" applyBorder="1" applyAlignment="1" applyProtection="1">
      <alignment horizontal="center"/>
    </xf>
    <xf numFmtId="0" fontId="12" fillId="0" borderId="15" xfId="0" applyFont="1" applyBorder="1" applyAlignment="1" applyProtection="1">
      <alignment horizontal="center"/>
    </xf>
    <xf numFmtId="0" fontId="12" fillId="0" borderId="16" xfId="0" applyFont="1" applyBorder="1" applyAlignment="1" applyProtection="1">
      <alignment horizontal="center"/>
    </xf>
    <xf numFmtId="0" fontId="12" fillId="0" borderId="12" xfId="0" applyFont="1" applyBorder="1" applyAlignment="1" applyProtection="1">
      <alignment horizontal="center"/>
    </xf>
    <xf numFmtId="0" fontId="12" fillId="0" borderId="4" xfId="0" applyFont="1" applyBorder="1" applyAlignment="1" applyProtection="1">
      <alignment horizontal="center"/>
    </xf>
    <xf numFmtId="0" fontId="12" fillId="0" borderId="13" xfId="0" applyFont="1" applyBorder="1" applyAlignment="1" applyProtection="1">
      <alignment horizontal="center"/>
    </xf>
    <xf numFmtId="0" fontId="12" fillId="10" borderId="14" xfId="0" applyFont="1" applyFill="1" applyBorder="1" applyAlignment="1" applyProtection="1">
      <alignment horizontal="center"/>
    </xf>
    <xf numFmtId="0" fontId="12" fillId="10" borderId="15" xfId="0" applyFont="1" applyFill="1" applyBorder="1" applyAlignment="1" applyProtection="1">
      <alignment horizontal="center"/>
    </xf>
    <xf numFmtId="0" fontId="12" fillId="10" borderId="16" xfId="0" applyFont="1" applyFill="1" applyBorder="1" applyAlignment="1" applyProtection="1">
      <alignment horizontal="center"/>
    </xf>
    <xf numFmtId="0" fontId="18" fillId="0" borderId="20" xfId="0" applyFont="1" applyBorder="1" applyAlignment="1" applyProtection="1">
      <alignment horizontal="right"/>
    </xf>
    <xf numFmtId="0" fontId="18" fillId="0" borderId="19" xfId="0" applyFont="1" applyBorder="1" applyAlignment="1" applyProtection="1">
      <alignment horizontal="right"/>
    </xf>
    <xf numFmtId="0" fontId="18" fillId="4" borderId="21" xfId="0" applyFont="1" applyFill="1" applyBorder="1" applyAlignment="1" applyProtection="1">
      <alignment horizontal="right" vertical="center"/>
    </xf>
    <xf numFmtId="0" fontId="18" fillId="4" borderId="22" xfId="0" applyFont="1" applyFill="1" applyBorder="1" applyAlignment="1" applyProtection="1">
      <alignment horizontal="right" vertical="center"/>
    </xf>
    <xf numFmtId="0" fontId="18" fillId="4" borderId="20" xfId="0" applyFont="1" applyFill="1" applyBorder="1" applyAlignment="1" applyProtection="1">
      <alignment horizontal="right" vertical="center"/>
    </xf>
    <xf numFmtId="0" fontId="18" fillId="4" borderId="19" xfId="0" applyFont="1" applyFill="1" applyBorder="1" applyAlignment="1" applyProtection="1">
      <alignment horizontal="right" vertical="center"/>
    </xf>
    <xf numFmtId="0" fontId="18" fillId="4" borderId="81" xfId="0" applyFont="1" applyFill="1" applyBorder="1" applyAlignment="1" applyProtection="1">
      <alignment horizontal="right" vertical="center"/>
    </xf>
    <xf numFmtId="0" fontId="18" fillId="4" borderId="82" xfId="0" applyFont="1" applyFill="1" applyBorder="1" applyAlignment="1" applyProtection="1">
      <alignment horizontal="right" vertical="center"/>
    </xf>
    <xf numFmtId="0" fontId="16" fillId="10" borderId="25" xfId="0" applyFont="1" applyFill="1" applyBorder="1" applyAlignment="1" applyProtection="1">
      <alignment horizontal="left" vertical="center"/>
    </xf>
    <xf numFmtId="0" fontId="16" fillId="10" borderId="26" xfId="0" applyFont="1" applyFill="1" applyBorder="1" applyAlignment="1" applyProtection="1">
      <alignment horizontal="left" vertical="center"/>
    </xf>
    <xf numFmtId="0" fontId="28" fillId="16" borderId="16" xfId="0" applyFont="1" applyFill="1" applyBorder="1" applyAlignment="1" applyProtection="1">
      <alignment horizontal="center" vertical="center"/>
      <protection locked="0"/>
    </xf>
    <xf numFmtId="0" fontId="16" fillId="16" borderId="14" xfId="0" applyFont="1" applyFill="1" applyBorder="1" applyAlignment="1" applyProtection="1">
      <alignment horizontal="center"/>
    </xf>
    <xf numFmtId="0" fontId="16" fillId="16" borderId="15" xfId="0" applyFont="1" applyFill="1" applyBorder="1" applyAlignment="1" applyProtection="1">
      <alignment horizontal="center"/>
    </xf>
    <xf numFmtId="0" fontId="16" fillId="16" borderId="16" xfId="0" applyFont="1" applyFill="1" applyBorder="1" applyAlignment="1" applyProtection="1">
      <alignment horizontal="center"/>
    </xf>
    <xf numFmtId="0" fontId="16" fillId="0" borderId="14" xfId="0" applyFont="1" applyBorder="1" applyAlignment="1" applyProtection="1">
      <alignment horizontal="center"/>
    </xf>
    <xf numFmtId="0" fontId="16" fillId="0" borderId="15" xfId="0" applyFont="1" applyBorder="1" applyAlignment="1" applyProtection="1">
      <alignment horizontal="center"/>
    </xf>
    <xf numFmtId="0" fontId="16" fillId="0" borderId="16" xfId="0" applyFont="1" applyBorder="1" applyAlignment="1" applyProtection="1">
      <alignment horizontal="center"/>
    </xf>
    <xf numFmtId="2" fontId="18" fillId="0" borderId="14" xfId="0" applyNumberFormat="1" applyFont="1" applyBorder="1" applyAlignment="1" applyProtection="1">
      <alignment horizontal="center"/>
    </xf>
    <xf numFmtId="2" fontId="18" fillId="0" borderId="15" xfId="0" applyNumberFormat="1" applyFont="1" applyBorder="1" applyAlignment="1" applyProtection="1">
      <alignment horizontal="center"/>
    </xf>
    <xf numFmtId="2" fontId="18" fillId="0" borderId="16" xfId="0" applyNumberFormat="1" applyFont="1" applyBorder="1" applyAlignment="1" applyProtection="1">
      <alignment horizontal="center"/>
    </xf>
    <xf numFmtId="0" fontId="18" fillId="0" borderId="21" xfId="0" applyFont="1" applyBorder="1" applyAlignment="1" applyProtection="1">
      <alignment horizontal="right"/>
    </xf>
    <xf numFmtId="0" fontId="18" fillId="0" borderId="22" xfId="0" applyFont="1" applyBorder="1" applyAlignment="1" applyProtection="1">
      <alignment horizontal="right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28" fillId="15" borderId="14" xfId="0" applyFont="1" applyFill="1" applyBorder="1" applyAlignment="1">
      <alignment horizontal="center"/>
    </xf>
    <xf numFmtId="0" fontId="28" fillId="15" borderId="15" xfId="0" applyFont="1" applyFill="1" applyBorder="1" applyAlignment="1">
      <alignment horizontal="center"/>
    </xf>
    <xf numFmtId="0" fontId="28" fillId="15" borderId="16" xfId="0" applyFont="1" applyFill="1" applyBorder="1" applyAlignment="1">
      <alignment horizontal="center"/>
    </xf>
    <xf numFmtId="0" fontId="26" fillId="15" borderId="0" xfId="0" applyFont="1" applyFill="1" applyAlignment="1">
      <alignment horizontal="center"/>
    </xf>
    <xf numFmtId="0" fontId="27" fillId="4" borderId="14" xfId="0" applyFont="1" applyFill="1" applyBorder="1" applyAlignment="1">
      <alignment horizontal="center" vertical="center"/>
    </xf>
    <xf numFmtId="0" fontId="27" fillId="4" borderId="15" xfId="0" applyFont="1" applyFill="1" applyBorder="1" applyAlignment="1">
      <alignment horizontal="center" vertical="center"/>
    </xf>
    <xf numFmtId="0" fontId="27" fillId="4" borderId="16" xfId="0" applyFont="1" applyFill="1" applyBorder="1" applyAlignment="1">
      <alignment horizontal="center" vertical="center"/>
    </xf>
    <xf numFmtId="38" fontId="25" fillId="0" borderId="14" xfId="0" applyNumberFormat="1" applyFont="1" applyBorder="1" applyAlignment="1">
      <alignment horizontal="center"/>
    </xf>
    <xf numFmtId="38" fontId="25" fillId="0" borderId="15" xfId="0" applyNumberFormat="1" applyFont="1" applyBorder="1" applyAlignment="1">
      <alignment horizontal="center"/>
    </xf>
    <xf numFmtId="38" fontId="25" fillId="0" borderId="16" xfId="0" applyNumberFormat="1" applyFont="1" applyBorder="1" applyAlignment="1">
      <alignment horizontal="center"/>
    </xf>
    <xf numFmtId="0" fontId="16" fillId="4" borderId="0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center" vertical="center"/>
    </xf>
    <xf numFmtId="0" fontId="0" fillId="0" borderId="0" xfId="0"/>
    <xf numFmtId="0" fontId="16" fillId="4" borderId="0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34" fillId="9" borderId="14" xfId="0" applyFont="1" applyFill="1" applyBorder="1" applyAlignment="1" applyProtection="1">
      <alignment horizontal="center"/>
      <protection locked="0"/>
    </xf>
    <xf numFmtId="0" fontId="34" fillId="9" borderId="15" xfId="0" applyFont="1" applyFill="1" applyBorder="1" applyAlignment="1" applyProtection="1">
      <alignment horizontal="center"/>
      <protection locked="0"/>
    </xf>
    <xf numFmtId="0" fontId="34" fillId="9" borderId="16" xfId="0" applyFont="1" applyFill="1" applyBorder="1" applyAlignment="1" applyProtection="1">
      <alignment horizontal="center"/>
      <protection locked="0"/>
    </xf>
    <xf numFmtId="0" fontId="12" fillId="0" borderId="3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12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</cellXfs>
  <cellStyles count="3">
    <cellStyle name="Moneda" xfId="2" builtinId="4"/>
    <cellStyle name="Normal" xfId="0" builtinId="0"/>
    <cellStyle name="Porcentaje" xfId="1" builtinId="5"/>
  </cellStyles>
  <dxfs count="6">
    <dxf>
      <font>
        <color theme="0"/>
      </font>
      <fill>
        <patternFill patternType="solid"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REVENUE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4695194726117103E-2"/>
          <c:y val="0.14856481481481484"/>
          <c:w val="0.89662729658792661"/>
          <c:h val="0.72088764946049255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chemeClr val="bg1"/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trendlineType val="linear"/>
            <c:dispRSqr val="0"/>
            <c:dispEq val="0"/>
          </c:trendline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Statement_P&amp;L'!$D$5:$K$5</c:f>
              <c:numCache>
                <c:formatCode>General</c:formatCode>
                <c:ptCount val="8"/>
                <c:pt idx="4">
                  <c:v>1.1140000000000001</c:v>
                </c:pt>
                <c:pt idx="5" formatCode="_-[$$-409]* #,##0.00_ ;_-[$$-409]* \-#,##0.00\ ;_-[$$-409]* &quot;-&quot;??_ ;_-@_ ">
                  <c:v>2.0470000000000002</c:v>
                </c:pt>
                <c:pt idx="6" formatCode="_-[$$-409]* #,##0.00_ ;_-[$$-409]* \-#,##0.00\ ;_-[$$-409]* &quot;-&quot;??_ ;_-@_ ">
                  <c:v>1.341</c:v>
                </c:pt>
                <c:pt idx="7" formatCode="_-[$$-409]* #,##0.00_ ;_-[$$-409]* \-#,##0.00\ ;_-[$$-409]* &quot;-&quot;??_ ;_-@_ ">
                  <c:v>3.01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1E4-8543-8502-54F2A264A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07648"/>
        <c:axId val="148521728"/>
      </c:lineChart>
      <c:catAx>
        <c:axId val="1485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21728"/>
        <c:crosses val="autoZero"/>
        <c:auto val="1"/>
        <c:lblAlgn val="ctr"/>
        <c:lblOffset val="100"/>
        <c:noMultiLvlLbl val="0"/>
      </c:catAx>
      <c:valAx>
        <c:axId val="14852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0764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bg1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96691964269904E-2"/>
          <c:y val="5.1400554097404488E-2"/>
          <c:w val="0.74962279923632635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Balance!$C$22</c:f>
              <c:strCache>
                <c:ptCount val="1"/>
                <c:pt idx="0">
                  <c:v>Liquidity ratio 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Balance!$D$22:$J$22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0.88333333333333341</c:v>
                </c:pt>
                <c:pt idx="4">
                  <c:v>0.97058823529411764</c:v>
                </c:pt>
                <c:pt idx="5">
                  <c:v>1.1160000000000001</c:v>
                </c:pt>
                <c:pt idx="6">
                  <c:v>3.5129358830146233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CEF-0C4E-A21D-74F5F034FB49}"/>
            </c:ext>
          </c:extLst>
        </c:ser>
        <c:ser>
          <c:idx val="1"/>
          <c:order val="1"/>
          <c:tx>
            <c:strRef>
              <c:f>Balance!#REF!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CEF-0C4E-A21D-74F5F034F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515648"/>
        <c:axId val="149517440"/>
      </c:lineChart>
      <c:catAx>
        <c:axId val="149515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7440"/>
        <c:crosses val="autoZero"/>
        <c:auto val="1"/>
        <c:lblAlgn val="ctr"/>
        <c:lblOffset val="100"/>
        <c:noMultiLvlLbl val="0"/>
      </c:catAx>
      <c:valAx>
        <c:axId val="14951744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5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7260392528017"/>
          <c:y val="6.9444444444444503E-2"/>
          <c:w val="0.85741075508858922"/>
          <c:h val="0.79224482356372328"/>
        </c:manualLayout>
      </c:layout>
      <c:barChart>
        <c:barDir val="col"/>
        <c:grouping val="clustered"/>
        <c:varyColors val="0"/>
        <c:ser>
          <c:idx val="1"/>
          <c:order val="0"/>
          <c:tx>
            <c:v>REVENUE %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Statement_P&amp;L'!$E$6:$K$6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0.83752244165170553</c:v>
                </c:pt>
                <c:pt idx="5">
                  <c:v>-0.34489496824621402</c:v>
                </c:pt>
                <c:pt idx="6">
                  <c:v>1.2445935868754661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78-1E4C-8BB8-9B62B447432B}"/>
            </c:ext>
          </c:extLst>
        </c:ser>
        <c:ser>
          <c:idx val="0"/>
          <c:order val="1"/>
          <c:tx>
            <c:v>RECEIVABLES %</c:v>
          </c:tx>
          <c:spPr>
            <a:solidFill>
              <a:schemeClr val="accent3">
                <a:lumMod val="75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Balance!$E$32:$K$32</c:f>
              <c:numCache>
                <c:formatCode>0.00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0.64705882352941202</c:v>
                </c:pt>
                <c:pt idx="5">
                  <c:v>-0.11309523809523819</c:v>
                </c:pt>
                <c:pt idx="6">
                  <c:v>3.7516778523489931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78-1E4C-8BB8-9B62B447432B}"/>
            </c:ext>
          </c:extLst>
        </c:ser>
        <c:ser>
          <c:idx val="2"/>
          <c:order val="2"/>
          <c:tx>
            <c:v>INVENTORIES %</c:v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Balance!$E$28:$K$28</c:f>
              <c:numCache>
                <c:formatCode>0.00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78-1E4C-8BB8-9B62B447432B}"/>
            </c:ext>
          </c:extLst>
        </c:ser>
        <c:ser>
          <c:idx val="3"/>
          <c:order val="3"/>
          <c:tx>
            <c:strRef>
              <c:f>Balance!$C$40</c:f>
              <c:strCache>
                <c:ptCount val="1"/>
                <c:pt idx="0">
                  <c:v>Net debt/FCF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Balance!$E$40:$K$40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-4.6770601336302939E-2</c:v>
                </c:pt>
                <c:pt idx="3">
                  <c:v>-0.73598130841121501</c:v>
                </c:pt>
                <c:pt idx="4">
                  <c:v>2.7876106194690267</c:v>
                </c:pt>
                <c:pt idx="5">
                  <c:v>4.9065420560747711E-2</c:v>
                </c:pt>
                <c:pt idx="6">
                  <c:v>1.4665492957746482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78-1E4C-8BB8-9B62B4474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9707392"/>
        <c:axId val="149721472"/>
      </c:barChart>
      <c:catAx>
        <c:axId val="1497073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21472"/>
        <c:crosses val="autoZero"/>
        <c:auto val="1"/>
        <c:lblAlgn val="ctr"/>
        <c:lblOffset val="100"/>
        <c:noMultiLvlLbl val="0"/>
      </c:catAx>
      <c:valAx>
        <c:axId val="14972147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0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Cash Flow'!$C$12</c:f>
              <c:strCache>
                <c:ptCount val="1"/>
                <c:pt idx="0">
                  <c:v>Free cash flow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Flow'!$D$12:$J$12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0">
                  <c:v>0.72399999999999998</c:v>
                </c:pt>
                <c:pt idx="4" formatCode="0.000">
                  <c:v>0.20000000000000007</c:v>
                </c:pt>
                <c:pt idx="5" formatCode="0.000">
                  <c:v>-0.89200000000000002</c:v>
                </c:pt>
                <c:pt idx="6" formatCode="0.000">
                  <c:v>-0.56799999999999995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EBD-1E40-8B96-CBA68589AB6C}"/>
            </c:ext>
          </c:extLst>
        </c:ser>
        <c:ser>
          <c:idx val="1"/>
          <c:order val="1"/>
          <c:tx>
            <c:strRef>
              <c:f>' Cash Flow'!#REF!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EBD-1E40-8B96-CBA68589A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56320"/>
        <c:axId val="149657856"/>
      </c:lineChart>
      <c:catAx>
        <c:axId val="1496563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7856"/>
        <c:crosses val="autoZero"/>
        <c:auto val="1"/>
        <c:lblAlgn val="ctr"/>
        <c:lblOffset val="100"/>
        <c:noMultiLvlLbl val="0"/>
      </c:catAx>
      <c:valAx>
        <c:axId val="14965785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6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marker>
            <c:symbol val="none"/>
          </c:marker>
          <c:val>
            <c:numRef>
              <c:f>Valuation!$J$14:$O$14</c:f>
              <c:numCache>
                <c:formatCode>_-[$$-409]* #,##0.000_ ;_-[$$-409]* \-#,##0.000\ ;_-[$$-409]* "-"??_ ;_-@_ </c:formatCode>
                <c:ptCount val="6"/>
                <c:pt idx="0">
                  <c:v>-1.51685878962536</c:v>
                </c:pt>
                <c:pt idx="1">
                  <c:v>1.5029299959167768</c:v>
                </c:pt>
                <c:pt idx="2">
                  <c:v>3.9923976204742564</c:v>
                </c:pt>
                <c:pt idx="3">
                  <c:v>6.7921058769755867</c:v>
                </c:pt>
                <c:pt idx="4">
                  <c:v>10.92540746529439</c:v>
                </c:pt>
                <c:pt idx="5">
                  <c:v>16.408493490398698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6EF-D84A-A0EA-A3BA972B5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42464"/>
        <c:axId val="150944000"/>
      </c:lineChart>
      <c:catAx>
        <c:axId val="1509424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44000"/>
        <c:crosses val="autoZero"/>
        <c:auto val="1"/>
        <c:lblAlgn val="ctr"/>
        <c:lblOffset val="100"/>
        <c:noMultiLvlLbl val="0"/>
      </c:catAx>
      <c:valAx>
        <c:axId val="150944000"/>
        <c:scaling>
          <c:orientation val="minMax"/>
        </c:scaling>
        <c:delete val="0"/>
        <c:axPos val="l"/>
        <c:numFmt formatCode="_-[$$-409]* #,##0.000_ ;_-[$$-409]* \-#,##0.000\ ;_-[$$-409]* &quot;-&quot;??_ ;_-@_ " sourceLinked="1"/>
        <c:majorTickMark val="out"/>
        <c:minorTickMark val="none"/>
        <c:tickLblPos val="nextTo"/>
        <c:crossAx val="150942464"/>
        <c:crosses val="autoZero"/>
        <c:crossBetween val="between"/>
      </c:valAx>
    </c:plotArea>
    <c:legend>
      <c:legendPos val="b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Valuation!$I$23</c:f>
              <c:strCache>
                <c:ptCount val="1"/>
                <c:pt idx="0">
                  <c:v>PER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Valuation!$J$23:$O$23</c:f>
              <c:numCache>
                <c:formatCode>0.0</c:formatCode>
                <c:ptCount val="6"/>
                <c:pt idx="0">
                  <c:v>-58.722527472527482</c:v>
                </c:pt>
                <c:pt idx="1">
                  <c:v>54.1829879841588</c:v>
                </c:pt>
                <c:pt idx="2">
                  <c:v>20.371455269814607</c:v>
                </c:pt>
                <c:pt idx="3">
                  <c:v>10.976355441844122</c:v>
                </c:pt>
                <c:pt idx="4">
                  <c:v>6.1958844867819609</c:v>
                </c:pt>
                <c:pt idx="5">
                  <c:v>3.6347665171875838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135-F949-814F-A678E72F6BE4}"/>
            </c:ext>
          </c:extLst>
        </c:ser>
        <c:ser>
          <c:idx val="1"/>
          <c:order val="1"/>
          <c:tx>
            <c:strRef>
              <c:f>Valuation!$I$24</c:f>
              <c:strCache>
                <c:ptCount val="1"/>
                <c:pt idx="0">
                  <c:v>P/FCF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Valuation!$J$24:$O$24</c:f>
              <c:numCache>
                <c:formatCode>0.0</c:formatCode>
                <c:ptCount val="6"/>
                <c:pt idx="0">
                  <c:v>-37.632042253521135</c:v>
                </c:pt>
                <c:pt idx="1">
                  <c:v>45.599309673588934</c:v>
                </c:pt>
                <c:pt idx="2">
                  <c:v>15.752319841059604</c:v>
                </c:pt>
                <c:pt idx="3">
                  <c:v>8.7645493588846772</c:v>
                </c:pt>
                <c:pt idx="4">
                  <c:v>5.0281220830724687</c:v>
                </c:pt>
                <c:pt idx="5">
                  <c:v>2.9424343407588109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135-F949-814F-A678E72F6BE4}"/>
            </c:ext>
          </c:extLst>
        </c:ser>
        <c:ser>
          <c:idx val="2"/>
          <c:order val="2"/>
          <c:tx>
            <c:strRef>
              <c:f>Valuation!$I$25</c:f>
              <c:strCache>
                <c:ptCount val="1"/>
                <c:pt idx="0">
                  <c:v>EV/EBIT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Valuation!$J$25:$O$25</c:f>
              <c:numCache>
                <c:formatCode>0.0</c:formatCode>
                <c:ptCount val="6"/>
                <c:pt idx="0">
                  <c:v>-49.709302325581405</c:v>
                </c:pt>
                <c:pt idx="1">
                  <c:v>33.298865474060825</c:v>
                </c:pt>
                <c:pt idx="2">
                  <c:v>13.901691275360207</c:v>
                </c:pt>
                <c:pt idx="3">
                  <c:v>7.6478242395594824</c:v>
                </c:pt>
                <c:pt idx="4">
                  <c:v>4.3575987817524275</c:v>
                </c:pt>
                <c:pt idx="5">
                  <c:v>2.5512209085829149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135-F949-814F-A678E72F6BE4}"/>
            </c:ext>
          </c:extLst>
        </c:ser>
        <c:ser>
          <c:idx val="3"/>
          <c:order val="3"/>
          <c:tx>
            <c:strRef>
              <c:f>Valuation!$I$26</c:f>
              <c:strCache>
                <c:ptCount val="1"/>
                <c:pt idx="0">
                  <c:v>EV/EBITDA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Valuation!$J$26:$O$26</c:f>
              <c:numCache>
                <c:formatCode>0.0</c:formatCode>
                <c:ptCount val="6"/>
                <c:pt idx="0">
                  <c:v>-121.44886363636367</c:v>
                </c:pt>
                <c:pt idx="1">
                  <c:v>18.059384698544697</c:v>
                </c:pt>
                <c:pt idx="2">
                  <c:v>8.8966883215097567</c:v>
                </c:pt>
                <c:pt idx="3">
                  <c:v>5.378493215204216</c:v>
                </c:pt>
                <c:pt idx="4">
                  <c:v>3.2579166252048699</c:v>
                </c:pt>
                <c:pt idx="5">
                  <c:v>1.9911430254540812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135-F949-814F-A678E72F6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70752"/>
        <c:axId val="150972288"/>
      </c:lineChart>
      <c:catAx>
        <c:axId val="150970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72288"/>
        <c:crosses val="autoZero"/>
        <c:auto val="1"/>
        <c:lblAlgn val="ctr"/>
        <c:lblOffset val="100"/>
        <c:noMultiLvlLbl val="0"/>
      </c:catAx>
      <c:valAx>
        <c:axId val="15097228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50970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ORDER INTAKE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 Ingeniería'!$C$10</c:f>
              <c:strCache>
                <c:ptCount val="1"/>
                <c:pt idx="0">
                  <c:v>Order Intake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Ingeniería'!$D$10:$K$10</c:f>
              <c:numCache>
                <c:formatCode>0.00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756736"/>
        <c:axId val="150774912"/>
      </c:barChart>
      <c:lineChart>
        <c:grouping val="standard"/>
        <c:varyColors val="0"/>
        <c:ser>
          <c:idx val="1"/>
          <c:order val="1"/>
          <c:tx>
            <c:strRef>
              <c:f>'6. Ingeniería'!$O$2</c:f>
              <c:strCache>
                <c:ptCount val="1"/>
                <c:pt idx="0">
                  <c:v>PROMEDIO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('6. Ingeniería'!$P$10,'6. Ingeniería'!$R$8,'6. Ingeniería'!$R$9,'6. Ingeniería'!$R$10,'6. Ingeniería'!$R$11,'6. Ingeniería'!$R$12,'6. Ingeniería'!$R$13,'6. Ingeniería'!$R$14)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756736"/>
        <c:axId val="150774912"/>
      </c:lineChart>
      <c:catAx>
        <c:axId val="15075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74912"/>
        <c:crosses val="autoZero"/>
        <c:auto val="1"/>
        <c:lblAlgn val="ctr"/>
        <c:lblOffset val="100"/>
        <c:noMultiLvlLbl val="0"/>
      </c:catAx>
      <c:valAx>
        <c:axId val="15077491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5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 Ingeniería'!$C$8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Ingeniería'!$D$8:$K$8</c:f>
              <c:numCache>
                <c:formatCode>0.00</c:formatCode>
                <c:ptCount val="8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A7A-0243-A12B-43E29057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807296"/>
        <c:axId val="150808832"/>
      </c:lineChart>
      <c:catAx>
        <c:axId val="15080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8832"/>
        <c:crosses val="autoZero"/>
        <c:auto val="1"/>
        <c:lblAlgn val="ctr"/>
        <c:lblOffset val="100"/>
        <c:noMultiLvlLbl val="0"/>
      </c:catAx>
      <c:valAx>
        <c:axId val="1508088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3681-0F42-AD42-42BE99EB9B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681-0F42-AD42-42BE99EB9B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3681-0F42-AD42-42BE99EB9B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681-0F42-AD42-42BE99EB9B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'6. Ingeniería'!$C$3:$C$6</c:f>
              <c:strCache>
                <c:ptCount val="4"/>
                <c:pt idx="0">
                  <c:v>EUROPE</c:v>
                </c:pt>
                <c:pt idx="1">
                  <c:v>LATAM</c:v>
                </c:pt>
                <c:pt idx="2">
                  <c:v>MIDDLE EAST</c:v>
                </c:pt>
                <c:pt idx="3">
                  <c:v>RoW</c:v>
                </c:pt>
              </c:strCache>
            </c:strRef>
          </c:cat>
          <c:val>
            <c:numRef>
              <c:f>'6. Ingeniería'!$K$3:$K$6</c:f>
              <c:numCache>
                <c:formatCode>0%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4-3681-0F42-AD42-42BE99EB9B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'Income Statement_P&amp;L'!$C$14</c:f>
              <c:strCache>
                <c:ptCount val="1"/>
                <c:pt idx="0">
                  <c:v>EBIT growth %</c:v>
                </c:pt>
              </c:strCache>
            </c:strRef>
          </c:tx>
          <c:spPr>
            <a:ln w="1905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Statement_P&amp;L'!$D$14:$K$14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29.133333333333333</c:v>
                </c:pt>
                <c:pt idx="6">
                  <c:v>-3.5110619469026547</c:v>
                </c:pt>
                <c:pt idx="7">
                  <c:v>-0.62114537444933926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C04-EB42-BDFE-D95A5EFFE777}"/>
            </c:ext>
          </c:extLst>
        </c:ser>
        <c:ser>
          <c:idx val="2"/>
          <c:order val="1"/>
          <c:tx>
            <c:strRef>
              <c:f>'Income Statement_P&amp;L'!$C$6</c:f>
              <c:strCache>
                <c:ptCount val="1"/>
                <c:pt idx="0">
                  <c:v>Sales Growth %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Statement_P&amp;L'!$D$6:$K$6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0.83752244165170553</c:v>
                </c:pt>
                <c:pt idx="6">
                  <c:v>-0.34489496824621402</c:v>
                </c:pt>
                <c:pt idx="7">
                  <c:v>1.2445935868754661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C04-EB42-BDFE-D95A5EFFE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54496"/>
        <c:axId val="148556032"/>
      </c:lineChart>
      <c:catAx>
        <c:axId val="14855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6032"/>
        <c:crosses val="autoZero"/>
        <c:auto val="1"/>
        <c:lblAlgn val="ctr"/>
        <c:lblOffset val="100"/>
        <c:noMultiLvlLbl val="0"/>
      </c:catAx>
      <c:valAx>
        <c:axId val="148556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4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invertIfNegative val="0"/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3.141831238779174E-2</c:v>
                </c:pt>
                <c:pt idx="5">
                  <c:v>0.20957498778700537</c:v>
                </c:pt>
                <c:pt idx="6">
                  <c:v>-0.7046979865771813</c:v>
                </c:pt>
                <c:pt idx="7">
                  <c:v>-0.12093023255813955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131648"/>
        <c:axId val="149113472"/>
      </c:barChart>
      <c:lineChart>
        <c:grouping val="stacked"/>
        <c:varyColors val="0"/>
        <c:ser>
          <c:idx val="0"/>
          <c:order val="0"/>
          <c:tx>
            <c:strRef>
              <c:f>'Income Statement_P&amp;L'!$C$8</c:f>
              <c:strCache>
                <c:ptCount val="1"/>
                <c:pt idx="0">
                  <c:v>Gross Margin %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Statement_P&amp;L'!$D$8:$K$8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0.8985637342908438</c:v>
                </c:pt>
                <c:pt idx="5">
                  <c:v>0.79091353199804593</c:v>
                </c:pt>
                <c:pt idx="6">
                  <c:v>0.66517524235645031</c:v>
                </c:pt>
                <c:pt idx="7">
                  <c:v>0.71760797342192695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11936"/>
        <c:axId val="149110144"/>
      </c:lineChart>
      <c:valAx>
        <c:axId val="149110144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11936"/>
        <c:crosses val="max"/>
        <c:crossBetween val="between"/>
      </c:valAx>
      <c:catAx>
        <c:axId val="1491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0144"/>
        <c:crosses val="autoZero"/>
        <c:auto val="1"/>
        <c:lblAlgn val="ctr"/>
        <c:lblOffset val="100"/>
        <c:noMultiLvlLbl val="0"/>
      </c:catAx>
      <c:valAx>
        <c:axId val="14911347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31648"/>
        <c:crosses val="autoZero"/>
        <c:crossBetween val="between"/>
      </c:valAx>
      <c:catAx>
        <c:axId val="149131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347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93963254594112E-2"/>
          <c:y val="4.6770924467774859E-2"/>
          <c:w val="0.9115393700787402"/>
          <c:h val="0.7211245990084576"/>
        </c:manualLayout>
      </c:layout>
      <c:lineChart>
        <c:grouping val="standard"/>
        <c:varyColors val="0"/>
        <c:ser>
          <c:idx val="3"/>
          <c:order val="0"/>
          <c:tx>
            <c:strRef>
              <c:f>' Cash Flow'!$C$12</c:f>
              <c:strCache>
                <c:ptCount val="1"/>
                <c:pt idx="0">
                  <c:v>Free cash flow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 Cash Flow'!$D$12:$J$12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0">
                  <c:v>0.72399999999999998</c:v>
                </c:pt>
                <c:pt idx="4" formatCode="0.000">
                  <c:v>0.20000000000000007</c:v>
                </c:pt>
                <c:pt idx="5" formatCode="0.000">
                  <c:v>-0.89200000000000002</c:v>
                </c:pt>
                <c:pt idx="6" formatCode="0.000">
                  <c:v>-0.56799999999999995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DEB-4B43-AFC3-DBC73F98B9C3}"/>
            </c:ext>
          </c:extLst>
        </c:ser>
        <c:ser>
          <c:idx val="1"/>
          <c:order val="2"/>
          <c:tx>
            <c:strRef>
              <c:f>'Income Statement_P&amp;L'!$C$12</c:f>
              <c:strCache>
                <c:ptCount val="1"/>
                <c:pt idx="0">
                  <c:v>EBIT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Statement_P&amp;L'!$E$12:$K$12</c:f>
              <c:numCache>
                <c:formatCode>0.00_ ;[Red]\-0.00\ </c:formatCode>
                <c:ptCount val="7"/>
                <c:pt idx="3">
                  <c:v>1.4999999999999999E-2</c:v>
                </c:pt>
                <c:pt idx="4">
                  <c:v>0.45200000000000001</c:v>
                </c:pt>
                <c:pt idx="5">
                  <c:v>-1.135</c:v>
                </c:pt>
                <c:pt idx="6">
                  <c:v>-0.43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DEB-4B43-AFC3-DBC73F98B9C3}"/>
            </c:ext>
          </c:extLst>
        </c:ser>
        <c:ser>
          <c:idx val="2"/>
          <c:order val="3"/>
          <c:tx>
            <c:strRef>
              <c:f>'Income Statement_P&amp;L'!$C$22</c:f>
              <c:strCache>
                <c:ptCount val="1"/>
                <c:pt idx="0">
                  <c:v>NET INCOME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Statement_P&amp;L'!$E$22:$K$22</c:f>
              <c:numCache>
                <c:formatCode>_-[$$-409]* #,##0.00_ ;_-[$$-409]* \-#,##0.00\ ;_-[$$-409]* "-"??_ ;_-@_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3.5000000000000003E-2</c:v>
                </c:pt>
                <c:pt idx="4">
                  <c:v>0.42899999999999999</c:v>
                </c:pt>
                <c:pt idx="5">
                  <c:v>-0.94500000000000006</c:v>
                </c:pt>
                <c:pt idx="6">
                  <c:v>-0.36399999999999999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36736"/>
        <c:axId val="149250816"/>
      </c:lineChart>
      <c:lineChart>
        <c:grouping val="standard"/>
        <c:varyColors val="0"/>
        <c:ser>
          <c:idx val="0"/>
          <c:order val="1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Statement_P&amp;L'!$E$5:$K$5</c:f>
              <c:numCache>
                <c:formatCode>General</c:formatCode>
                <c:ptCount val="7"/>
                <c:pt idx="3">
                  <c:v>1.1140000000000001</c:v>
                </c:pt>
                <c:pt idx="4" formatCode="_-[$$-409]* #,##0.00_ ;_-[$$-409]* \-#,##0.00\ ;_-[$$-409]* &quot;-&quot;??_ ;_-@_ ">
                  <c:v>2.0470000000000002</c:v>
                </c:pt>
                <c:pt idx="5" formatCode="_-[$$-409]* #,##0.00_ ;_-[$$-409]* \-#,##0.00\ ;_-[$$-409]* &quot;-&quot;??_ ;_-@_ ">
                  <c:v>1.341</c:v>
                </c:pt>
                <c:pt idx="6" formatCode="_-[$$-409]* #,##0.00_ ;_-[$$-409]* \-#,##0.00\ ;_-[$$-409]* &quot;-&quot;??_ ;_-@_ ">
                  <c:v>3.01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54144"/>
        <c:axId val="149252352"/>
      </c:lineChart>
      <c:catAx>
        <c:axId val="14923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250816"/>
        <c:crosses val="autoZero"/>
        <c:auto val="1"/>
        <c:lblAlgn val="ctr"/>
        <c:lblOffset val="100"/>
        <c:noMultiLvlLbl val="0"/>
      </c:catAx>
      <c:valAx>
        <c:axId val="14925081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36736"/>
        <c:crosses val="autoZero"/>
        <c:crossBetween val="between"/>
      </c:valAx>
      <c:valAx>
        <c:axId val="1492523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54144"/>
        <c:crosses val="max"/>
        <c:crossBetween val="between"/>
      </c:valAx>
      <c:catAx>
        <c:axId val="149254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25235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678258967629244E-2"/>
          <c:y val="7.4490740740741412E-2"/>
          <c:w val="0.88498840769903764"/>
          <c:h val="0.720887649460489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Statement_P&amp;L'!$C$13</c:f>
              <c:strCache>
                <c:ptCount val="1"/>
                <c:pt idx="0">
                  <c:v>EBIT margin 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Statement_P&amp;L'!$D$13:$K$13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%">
                  <c:v>1.3464991023339316E-2</c:v>
                </c:pt>
                <c:pt idx="5">
                  <c:v>0.22081094284318514</c:v>
                </c:pt>
                <c:pt idx="6" formatCode="0.00%">
                  <c:v>-0.84638329604772555</c:v>
                </c:pt>
                <c:pt idx="7" formatCode="0.00%">
                  <c:v>-0.14285714285714288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DE2-3545-A180-DF1073131C19}"/>
            </c:ext>
          </c:extLst>
        </c:ser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ln w="19050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3.141831238779174E-2</c:v>
                </c:pt>
                <c:pt idx="5">
                  <c:v>0.20957498778700537</c:v>
                </c:pt>
                <c:pt idx="6">
                  <c:v>-0.7046979865771813</c:v>
                </c:pt>
                <c:pt idx="7">
                  <c:v>-0.12093023255813955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DE2-3545-A180-DF1073131C19}"/>
            </c:ext>
          </c:extLst>
        </c:ser>
        <c:ser>
          <c:idx val="2"/>
          <c:order val="2"/>
          <c:tx>
            <c:strRef>
              <c:f>'Income Statement_P&amp;L'!$G$78</c:f>
              <c:strCache>
                <c:ptCount val="1"/>
                <c:pt idx="0">
                  <c:v>Margen EBIT Promedio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'Income Statement_P&amp;L'!$I$78:$P$78</c:f>
              <c:numCache>
                <c:formatCode>0.0%</c:formatCode>
                <c:ptCount val="8"/>
                <c:pt idx="0">
                  <c:v>-0.188741126259586</c:v>
                </c:pt>
                <c:pt idx="1">
                  <c:v>-0.188741126259586</c:v>
                </c:pt>
                <c:pt idx="2">
                  <c:v>-0.188741126259586</c:v>
                </c:pt>
                <c:pt idx="3">
                  <c:v>-0.188741126259586</c:v>
                </c:pt>
                <c:pt idx="4">
                  <c:v>-0.188741126259586</c:v>
                </c:pt>
                <c:pt idx="5">
                  <c:v>-0.188741126259586</c:v>
                </c:pt>
                <c:pt idx="6">
                  <c:v>-0.188741126259586</c:v>
                </c:pt>
                <c:pt idx="7">
                  <c:v>-0.188741126259586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E2-3545-A180-DF1073131C19}"/>
            </c:ext>
          </c:extLst>
        </c:ser>
        <c:ser>
          <c:idx val="3"/>
          <c:order val="3"/>
          <c:tx>
            <c:strRef>
              <c:f>'Income Statement_P&amp;L'!$G$79</c:f>
              <c:strCache>
                <c:ptCount val="1"/>
                <c:pt idx="0">
                  <c:v>Net Margin Promedio</c:v>
                </c:pt>
              </c:strCache>
            </c:strRef>
          </c:tx>
          <c:spPr>
            <a:ln w="952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'Income Statement_P&amp;L'!$I$79:$P$79</c:f>
              <c:numCache>
                <c:formatCode>0.0%</c:formatCode>
                <c:ptCount val="8"/>
                <c:pt idx="0">
                  <c:v>-0.14615872974013092</c:v>
                </c:pt>
                <c:pt idx="1">
                  <c:v>-0.14615872974013092</c:v>
                </c:pt>
                <c:pt idx="2">
                  <c:v>-0.14615872974013092</c:v>
                </c:pt>
                <c:pt idx="3">
                  <c:v>-0.14615872974013092</c:v>
                </c:pt>
                <c:pt idx="4">
                  <c:v>-0.14615872974013092</c:v>
                </c:pt>
                <c:pt idx="5">
                  <c:v>-0.14615872974013092</c:v>
                </c:pt>
                <c:pt idx="6">
                  <c:v>-0.14615872974013092</c:v>
                </c:pt>
                <c:pt idx="7">
                  <c:v>-0.14615872974013092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E2-3545-A180-DF1073131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280256"/>
        <c:axId val="149281792"/>
      </c:lineChart>
      <c:catAx>
        <c:axId val="14928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1792"/>
        <c:crosses val="autoZero"/>
        <c:auto val="1"/>
        <c:lblAlgn val="ctr"/>
        <c:lblOffset val="100"/>
        <c:noMultiLvlLbl val="0"/>
      </c:catAx>
      <c:valAx>
        <c:axId val="14928179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5048118985126"/>
          <c:y val="4.6296296296296523E-2"/>
          <c:w val="0.53888888888888964"/>
          <c:h val="0.89814814814814814"/>
        </c:manualLayout>
      </c:layout>
      <c:pieChart>
        <c:varyColors val="1"/>
        <c:ser>
          <c:idx val="0"/>
          <c:order val="0"/>
          <c:cat>
            <c:strRef>
              <c:f>'Income Statement_P&amp;L'!$L$95:$L$98</c:f>
              <c:strCache>
                <c:ptCount val="4"/>
                <c:pt idx="0">
                  <c:v>EMEA</c:v>
                </c:pt>
                <c:pt idx="1">
                  <c:v>APAC</c:v>
                </c:pt>
                <c:pt idx="2">
                  <c:v>LATAM</c:v>
                </c:pt>
                <c:pt idx="3">
                  <c:v>NA</c:v>
                </c:pt>
              </c:strCache>
            </c:strRef>
          </c:cat>
          <c:val>
            <c:numRef>
              <c:f>'Income Statement_P&amp;L'!$M$95:$M$98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8-BA4A-BC22-5A24135F0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08698742460522E-2"/>
          <c:y val="3.7511665208515642E-2"/>
          <c:w val="0.68556414563156676"/>
          <c:h val="0.8326195683872849"/>
        </c:manualLayout>
      </c:layout>
      <c:lineChart>
        <c:grouping val="stacked"/>
        <c:varyColors val="0"/>
        <c:ser>
          <c:idx val="1"/>
          <c:order val="1"/>
          <c:tx>
            <c:strRef>
              <c:f>'Income Statement_P&amp;L'!$E$102</c:f>
              <c:strCache>
                <c:ptCount val="1"/>
                <c:pt idx="0">
                  <c:v>Sales Growth %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'Income Statement_P&amp;L'!$D$94:$K$94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Statement_P&amp;L'!$E$103:$L$103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0.83752244165170553</c:v>
                </c:pt>
                <c:pt idx="6">
                  <c:v>-0.34489496824621402</c:v>
                </c:pt>
                <c:pt idx="7">
                  <c:v>1.2445935868754661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92928"/>
        <c:axId val="149294464"/>
      </c:lineChart>
      <c:lineChart>
        <c:grouping val="stacked"/>
        <c:varyColors val="0"/>
        <c:ser>
          <c:idx val="0"/>
          <c:order val="0"/>
          <c:tx>
            <c:strRef>
              <c:f>'Income Statement_P&amp;L'!$E$100</c:f>
              <c:strCache>
                <c:ptCount val="1"/>
                <c:pt idx="0">
                  <c:v>COGS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Statement_P&amp;L'!$D$94:$K$94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Statement_P&amp;L'!$E$101:$L$101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0.44900000000000001</c:v>
                </c:pt>
                <c:pt idx="3">
                  <c:v>0.42799999999999999</c:v>
                </c:pt>
                <c:pt idx="4">
                  <c:v>0.113</c:v>
                </c:pt>
                <c:pt idx="5">
                  <c:v>0.42799999999999999</c:v>
                </c:pt>
                <c:pt idx="6">
                  <c:v>0.44900000000000001</c:v>
                </c:pt>
                <c:pt idx="7">
                  <c:v>0.85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05984"/>
        <c:axId val="149304448"/>
      </c:lineChart>
      <c:catAx>
        <c:axId val="1492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4464"/>
        <c:crosses val="autoZero"/>
        <c:auto val="1"/>
        <c:lblAlgn val="ctr"/>
        <c:lblOffset val="100"/>
        <c:noMultiLvlLbl val="0"/>
      </c:catAx>
      <c:valAx>
        <c:axId val="149294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2928"/>
        <c:crosses val="autoZero"/>
        <c:crossBetween val="between"/>
      </c:valAx>
      <c:valAx>
        <c:axId val="1493044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05984"/>
        <c:crosses val="max"/>
        <c:crossBetween val="between"/>
      </c:valAx>
      <c:catAx>
        <c:axId val="1493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30444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B25-5048-96C8-752228677870}"/>
            </c:ext>
          </c:extLst>
        </c:ser>
        <c:ser>
          <c:idx val="1"/>
          <c:order val="1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B25-5048-96C8-752228677870}"/>
            </c:ext>
          </c:extLst>
        </c:ser>
        <c:ser>
          <c:idx val="2"/>
          <c:order val="2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7B25-5048-96C8-752228677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23136"/>
        <c:axId val="149333120"/>
      </c:lineChart>
      <c:catAx>
        <c:axId val="14932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33120"/>
        <c:crosses val="autoZero"/>
        <c:auto val="1"/>
        <c:lblAlgn val="ctr"/>
        <c:lblOffset val="100"/>
        <c:noMultiLvlLbl val="0"/>
      </c:catAx>
      <c:valAx>
        <c:axId val="149333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23136"/>
        <c:crosses val="autoZero"/>
        <c:crossBetween val="between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30228248932725E-2"/>
          <c:y val="2.40730559567628E-2"/>
          <c:w val="0.8851345455021985"/>
          <c:h val="0.68030781655252026"/>
        </c:manualLayout>
      </c:layout>
      <c:lineChart>
        <c:grouping val="standard"/>
        <c:varyColors val="0"/>
        <c:ser>
          <c:idx val="0"/>
          <c:order val="0"/>
          <c:tx>
            <c:strRef>
              <c:f>Balance!$C$19</c:f>
              <c:strCache>
                <c:ptCount val="1"/>
                <c:pt idx="0">
                  <c:v>ROE ( net income / equity 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Balance!$D$19:$O$19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0.37234042553191493</c:v>
                </c:pt>
                <c:pt idx="4">
                  <c:v>1.0725</c:v>
                </c:pt>
                <c:pt idx="5">
                  <c:v>1.7565055762081785</c:v>
                </c:pt>
                <c:pt idx="6">
                  <c:v>-0.16914498141263939</c:v>
                </c:pt>
                <c:pt idx="7">
                  <c:v>0.12197006627080391</c:v>
                </c:pt>
                <c:pt idx="8">
                  <c:v>0.21357936197269828</c:v>
                </c:pt>
                <c:pt idx="9">
                  <c:v>0.24836546616111002</c:v>
                </c:pt>
                <c:pt idx="10">
                  <c:v>0.26768525602709226</c:v>
                </c:pt>
                <c:pt idx="11">
                  <c:v>0.26330494334676396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26B-674A-BB69-0EB8FA5FA3E0}"/>
            </c:ext>
          </c:extLst>
        </c:ser>
        <c:ser>
          <c:idx val="1"/>
          <c:order val="1"/>
          <c:tx>
            <c:strRef>
              <c:f>Balance!$C$20</c:f>
              <c:strCache>
                <c:ptCount val="1"/>
                <c:pt idx="0">
                  <c:v>ROCE (EBIT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A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Balance!$D$20:$O$20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4.6728971962616828E-2</c:v>
                </c:pt>
                <c:pt idx="4">
                  <c:v>0.63661971830985919</c:v>
                </c:pt>
                <c:pt idx="5">
                  <c:v>6.3764044943820206</c:v>
                </c:pt>
                <c:pt idx="6">
                  <c:v>-0.32600454890068237</c:v>
                </c:pt>
                <c:pt idx="7">
                  <c:v>0.32380551802006252</c:v>
                </c:pt>
                <c:pt idx="8">
                  <c:v>0.51063569651748164</c:v>
                </c:pt>
                <c:pt idx="9">
                  <c:v>0.58157930551431847</c:v>
                </c:pt>
                <c:pt idx="10">
                  <c:v>0.62098054489225041</c:v>
                </c:pt>
                <c:pt idx="11">
                  <c:v>0.61204723093464397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6B-674A-BB69-0EB8FA5FA3E0}"/>
            </c:ext>
          </c:extLst>
        </c:ser>
        <c:ser>
          <c:idx val="2"/>
          <c:order val="2"/>
          <c:tx>
            <c:strRef>
              <c:f>Balance!$C$21</c:f>
              <c:strCache>
                <c:ptCount val="1"/>
                <c:pt idx="0">
                  <c:v>ROCE sin goodwill( 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C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E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0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Balance!$D$21:$O$21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4.6728971962616828E-2</c:v>
                </c:pt>
                <c:pt idx="4">
                  <c:v>0.63661971830985919</c:v>
                </c:pt>
                <c:pt idx="5">
                  <c:v>6.3764044943820206</c:v>
                </c:pt>
                <c:pt idx="6">
                  <c:v>-0.32600454890068237</c:v>
                </c:pt>
                <c:pt idx="7">
                  <c:v>0.32380551802006252</c:v>
                </c:pt>
                <c:pt idx="8">
                  <c:v>0.51063569651748164</c:v>
                </c:pt>
                <c:pt idx="9">
                  <c:v>0.58157930551431847</c:v>
                </c:pt>
                <c:pt idx="10">
                  <c:v>0.62098054489225041</c:v>
                </c:pt>
                <c:pt idx="11">
                  <c:v>0.61204723093464397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1-126B-674A-BB69-0EB8FA5FA3E0}"/>
            </c:ext>
          </c:extLst>
        </c:ser>
        <c:ser>
          <c:idx val="3"/>
          <c:order val="3"/>
          <c:tx>
            <c:strRef>
              <c:f>Balance!$L$44</c:f>
              <c:strCache>
                <c:ptCount val="1"/>
              </c:strCache>
            </c:strRef>
          </c:tx>
          <c:spPr>
            <a:ln w="12700">
              <a:prstDash val="sysDot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Balance!$O$33:$Z$33</c:f>
              <c:numCache>
                <c:formatCode>0.00</c:formatCode>
                <c:ptCount val="12"/>
                <c:pt idx="0">
                  <c:v>2.5052677251399547</c:v>
                </c:pt>
                <c:pt idx="1">
                  <c:v>3.8127511369081786</c:v>
                </c:pt>
                <c:pt idx="2" formatCode="0.00%">
                  <c:v>0.75805025508186352</c:v>
                </c:pt>
                <c:pt idx="3" formatCode="0.00%">
                  <c:v>0.75805025508186352</c:v>
                </c:pt>
                <c:pt idx="4" formatCode="0.00%">
                  <c:v>0.75805025508186352</c:v>
                </c:pt>
                <c:pt idx="5" formatCode="0.00%">
                  <c:v>0.75805025508186352</c:v>
                </c:pt>
                <c:pt idx="6" formatCode="0.00%">
                  <c:v>0.75805025508186352</c:v>
                </c:pt>
                <c:pt idx="7" formatCode="0.00%">
                  <c:v>0.75805025508186352</c:v>
                </c:pt>
                <c:pt idx="8" formatCode="0.00%">
                  <c:v>0.75805025508186352</c:v>
                </c:pt>
                <c:pt idx="9" formatCode="0.00%">
                  <c:v>0.75805025508186352</c:v>
                </c:pt>
                <c:pt idx="10" formatCode="0.00%">
                  <c:v>0.75805025508186352</c:v>
                </c:pt>
                <c:pt idx="11" formatCode="0.00%">
                  <c:v>0.75805025508186352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26B-674A-BB69-0EB8FA5FA3E0}"/>
            </c:ext>
          </c:extLst>
        </c:ser>
        <c:ser>
          <c:idx val="4"/>
          <c:order val="4"/>
          <c:tx>
            <c:strRef>
              <c:f>Balance!$L$45</c:f>
              <c:strCache>
                <c:ptCount val="1"/>
              </c:strCache>
            </c:strRef>
          </c:tx>
          <c:spPr>
            <a:ln w="12700">
              <a:prstDash val="dash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Balance!$O$34:$Z$34</c:f>
              <c:numCache>
                <c:formatCode>0.00</c:formatCode>
                <c:ptCount val="12"/>
                <c:pt idx="0">
                  <c:v>228.60567991902087</c:v>
                </c:pt>
                <c:pt idx="1">
                  <c:v>278.33083299429705</c:v>
                </c:pt>
                <c:pt idx="2" formatCode="0.00%">
                  <c:v>1.6834371589384536</c:v>
                </c:pt>
                <c:pt idx="3" formatCode="0.00%">
                  <c:v>1.6834371589384536</c:v>
                </c:pt>
                <c:pt idx="4" formatCode="0.00%">
                  <c:v>1.6834371589384536</c:v>
                </c:pt>
                <c:pt idx="5" formatCode="0.00%">
                  <c:v>1.6834371589384536</c:v>
                </c:pt>
                <c:pt idx="6" formatCode="0.00%">
                  <c:v>1.6834371589384536</c:v>
                </c:pt>
                <c:pt idx="7" formatCode="0.00%">
                  <c:v>1.6834371589384536</c:v>
                </c:pt>
                <c:pt idx="8" formatCode="0.00%">
                  <c:v>1.6834371589384536</c:v>
                </c:pt>
                <c:pt idx="9" formatCode="0.00%">
                  <c:v>1.6834371589384536</c:v>
                </c:pt>
                <c:pt idx="10" formatCode="0.00%">
                  <c:v>1.6834371589384536</c:v>
                </c:pt>
                <c:pt idx="11" formatCode="0.00%">
                  <c:v>1.6834371589384536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26B-674A-BB69-0EB8FA5FA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82656"/>
        <c:axId val="149384192"/>
      </c:lineChart>
      <c:catAx>
        <c:axId val="149382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4192"/>
        <c:crosses val="autoZero"/>
        <c:auto val="1"/>
        <c:lblAlgn val="ctr"/>
        <c:lblOffset val="100"/>
        <c:noMultiLvlLbl val="0"/>
      </c:catAx>
      <c:valAx>
        <c:axId val="14938419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CheckBox" checked="Checked" fmlaLink="#REF!" lockText="1" noThreeD="1"/>
</file>

<file path=xl/ctrlProps/ctrlProp2.xml><?xml version="1.0" encoding="utf-8"?>
<formControlPr xmlns="http://schemas.microsoft.com/office/spreadsheetml/2009/9/main" objectType="CheckBox" checked="Checked" fmlaLink="$R$26" lockText="1" noThreeD="1"/>
</file>

<file path=xl/ctrlProps/ctrlProp3.xml><?xml version="1.0" encoding="utf-8"?>
<formControlPr xmlns="http://schemas.microsoft.com/office/spreadsheetml/2009/9/main" objectType="Drop" dropStyle="combo" dx="15" fmlaLink="$D$100" fmlaRange="$C$5:$C$23" noThreeD="1" sel="3" val="0"/>
</file>

<file path=xl/ctrlProps/ctrlProp4.xml><?xml version="1.0" encoding="utf-8"?>
<formControlPr xmlns="http://schemas.microsoft.com/office/spreadsheetml/2009/9/main" objectType="Drop" dropStyle="combo" dx="15" fmlaLink="$D$102" fmlaRange="$C$5:$C$23" noThreeD="1" sel="2" val="0"/>
</file>

<file path=xl/ctrlProps/ctrlProp5.xml><?xml version="1.0" encoding="utf-8"?>
<formControlPr xmlns="http://schemas.microsoft.com/office/spreadsheetml/2009/9/main" objectType="Drop" dropStyle="combo" dx="15" fmlaLink="$L$94" fmlaRange="$N$94:$N$101" noThreeD="1" sel="8" val="0"/>
</file>

<file path=xl/ctrlProps/ctrlProp6.xml><?xml version="1.0" encoding="utf-8"?>
<formControlPr xmlns="http://schemas.microsoft.com/office/spreadsheetml/2009/9/main" objectType="CheckBox" checked="Checked" fmlaLink="$M$20" lockText="1" noThreeD="1"/>
</file>

<file path=xl/ctrlProps/ctrlProp7.xml><?xml version="1.0" encoding="utf-8"?>
<formControlPr xmlns="http://schemas.microsoft.com/office/spreadsheetml/2009/9/main" objectType="CheckBox" fmlaLink="$Q$22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40</xdr:row>
      <xdr:rowOff>51435</xdr:rowOff>
    </xdr:from>
    <xdr:to>
      <xdr:col>6</xdr:col>
      <xdr:colOff>449581</xdr:colOff>
      <xdr:row>55</xdr:row>
      <xdr:rowOff>51435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186689</xdr:colOff>
      <xdr:row>40</xdr:row>
      <xdr:rowOff>137159</xdr:rowOff>
    </xdr:from>
    <xdr:to>
      <xdr:col>13</xdr:col>
      <xdr:colOff>158115</xdr:colOff>
      <xdr:row>57</xdr:row>
      <xdr:rowOff>20954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281940</xdr:colOff>
      <xdr:row>56</xdr:row>
      <xdr:rowOff>87630</xdr:rowOff>
    </xdr:from>
    <xdr:to>
      <xdr:col>6</xdr:col>
      <xdr:colOff>358140</xdr:colOff>
      <xdr:row>71</xdr:row>
      <xdr:rowOff>125730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220979</xdr:colOff>
      <xdr:row>56</xdr:row>
      <xdr:rowOff>110490</xdr:rowOff>
    </xdr:from>
    <xdr:to>
      <xdr:col>13</xdr:col>
      <xdr:colOff>192405</xdr:colOff>
      <xdr:row>72</xdr:row>
      <xdr:rowOff>3810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114300</xdr:colOff>
      <xdr:row>74</xdr:row>
      <xdr:rowOff>11430</xdr:rowOff>
    </xdr:from>
    <xdr:to>
      <xdr:col>7</xdr:col>
      <xdr:colOff>662940</xdr:colOff>
      <xdr:row>91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121920</xdr:colOff>
      <xdr:row>72</xdr:row>
      <xdr:rowOff>19050</xdr:rowOff>
    </xdr:from>
    <xdr:to>
      <xdr:col>14</xdr:col>
      <xdr:colOff>266700</xdr:colOff>
      <xdr:row>88</xdr:row>
      <xdr:rowOff>106680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333374</xdr:colOff>
      <xdr:row>98</xdr:row>
      <xdr:rowOff>123825</xdr:rowOff>
    </xdr:from>
    <xdr:to>
      <xdr:col>11</xdr:col>
      <xdr:colOff>352424</xdr:colOff>
      <xdr:row>113</xdr:row>
      <xdr:rowOff>9525</xdr:rowOff>
    </xdr:to>
    <xdr:graphicFrame macro="">
      <xdr:nvGraphicFramePr>
        <xdr:cNvPr id="12" name="11 Gráfic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9524</xdr:colOff>
      <xdr:row>32</xdr:row>
      <xdr:rowOff>190501</xdr:rowOff>
    </xdr:from>
    <xdr:to>
      <xdr:col>16</xdr:col>
      <xdr:colOff>1209674</xdr:colOff>
      <xdr:row>33</xdr:row>
      <xdr:rowOff>38100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723900</xdr:colOff>
          <xdr:row>27</xdr:row>
          <xdr:rowOff>12700</xdr:rowOff>
        </xdr:from>
        <xdr:to>
          <xdr:col>12</xdr:col>
          <xdr:colOff>101600</xdr:colOff>
          <xdr:row>28</xdr:row>
          <xdr:rowOff>38100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736600</xdr:colOff>
          <xdr:row>26</xdr:row>
          <xdr:rowOff>25400</xdr:rowOff>
        </xdr:from>
        <xdr:to>
          <xdr:col>12</xdr:col>
          <xdr:colOff>114300</xdr:colOff>
          <xdr:row>27</xdr:row>
          <xdr:rowOff>12700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584200</xdr:colOff>
          <xdr:row>100</xdr:row>
          <xdr:rowOff>0</xdr:rowOff>
        </xdr:from>
        <xdr:to>
          <xdr:col>3</xdr:col>
          <xdr:colOff>0</xdr:colOff>
          <xdr:row>101</xdr:row>
          <xdr:rowOff>12700</xdr:rowOff>
        </xdr:to>
        <xdr:sp macro="" textlink="">
          <xdr:nvSpPr>
            <xdr:cNvPr id="6150" name="Drop Down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596900</xdr:colOff>
          <xdr:row>102</xdr:row>
          <xdr:rowOff>25400</xdr:rowOff>
        </xdr:from>
        <xdr:to>
          <xdr:col>3</xdr:col>
          <xdr:colOff>0</xdr:colOff>
          <xdr:row>103</xdr:row>
          <xdr:rowOff>38100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330200</xdr:colOff>
          <xdr:row>78</xdr:row>
          <xdr:rowOff>38100</xdr:rowOff>
        </xdr:from>
        <xdr:to>
          <xdr:col>16</xdr:col>
          <xdr:colOff>1003300</xdr:colOff>
          <xdr:row>79</xdr:row>
          <xdr:rowOff>76200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243714</xdr:colOff>
      <xdr:row>1</xdr:row>
      <xdr:rowOff>50800</xdr:rowOff>
    </xdr:from>
    <xdr:to>
      <xdr:col>2</xdr:col>
      <xdr:colOff>1859565</xdr:colOff>
      <xdr:row>1</xdr:row>
      <xdr:rowOff>1181100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16814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520064</xdr:colOff>
      <xdr:row>42</xdr:row>
      <xdr:rowOff>83820</xdr:rowOff>
    </xdr:from>
    <xdr:to>
      <xdr:col>9</xdr:col>
      <xdr:colOff>81915</xdr:colOff>
      <xdr:row>59</xdr:row>
      <xdr:rowOff>198120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13334</xdr:colOff>
      <xdr:row>62</xdr:row>
      <xdr:rowOff>38100</xdr:rowOff>
    </xdr:from>
    <xdr:to>
      <xdr:col>7</xdr:col>
      <xdr:colOff>329565</xdr:colOff>
      <xdr:row>75</xdr:row>
      <xdr:rowOff>179070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542925</xdr:colOff>
      <xdr:row>59</xdr:row>
      <xdr:rowOff>144780</xdr:rowOff>
    </xdr:from>
    <xdr:to>
      <xdr:col>18</xdr:col>
      <xdr:colOff>504825</xdr:colOff>
      <xdr:row>75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</xdr:col>
      <xdr:colOff>635000</xdr:colOff>
      <xdr:row>1</xdr:row>
      <xdr:rowOff>50800</xdr:rowOff>
    </xdr:from>
    <xdr:to>
      <xdr:col>2</xdr:col>
      <xdr:colOff>2250851</xdr:colOff>
      <xdr:row>1</xdr:row>
      <xdr:rowOff>1181100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87500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28</xdr:row>
      <xdr:rowOff>85725</xdr:rowOff>
    </xdr:from>
    <xdr:to>
      <xdr:col>8</xdr:col>
      <xdr:colOff>561975</xdr:colOff>
      <xdr:row>42</xdr:row>
      <xdr:rowOff>28575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762000</xdr:colOff>
      <xdr:row>2</xdr:row>
      <xdr:rowOff>103908</xdr:rowOff>
    </xdr:from>
    <xdr:to>
      <xdr:col>2</xdr:col>
      <xdr:colOff>2214452</xdr:colOff>
      <xdr:row>2</xdr:row>
      <xdr:rowOff>1119909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4909" y="507999"/>
          <a:ext cx="1452452" cy="10160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19</xdr:row>
      <xdr:rowOff>33337</xdr:rowOff>
    </xdr:from>
    <xdr:to>
      <xdr:col>5</xdr:col>
      <xdr:colOff>476250</xdr:colOff>
      <xdr:row>33</xdr:row>
      <xdr:rowOff>100012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33</xdr:row>
      <xdr:rowOff>123825</xdr:rowOff>
    </xdr:from>
    <xdr:to>
      <xdr:col>5</xdr:col>
      <xdr:colOff>485775</xdr:colOff>
      <xdr:row>48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16</xdr:row>
          <xdr:rowOff>63500</xdr:rowOff>
        </xdr:from>
        <xdr:to>
          <xdr:col>12</xdr:col>
          <xdr:colOff>114300</xdr:colOff>
          <xdr:row>18</xdr:row>
          <xdr:rowOff>139700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ES_tradnl" sz="800" b="0" i="0" u="none" strike="noStrike" baseline="0">
                  <a:solidFill>
                    <a:srgbClr val="000000"/>
                  </a:solidFill>
                  <a:latin typeface="Tahoma" pitchFamily="2" charset="0"/>
                  <a:ea typeface="Tahoma" pitchFamily="2" charset="0"/>
                  <a:cs typeface="Tahoma" pitchFamily="2" charset="0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17</xdr:row>
          <xdr:rowOff>317500</xdr:rowOff>
        </xdr:from>
        <xdr:to>
          <xdr:col>12</xdr:col>
          <xdr:colOff>0</xdr:colOff>
          <xdr:row>19</xdr:row>
          <xdr:rowOff>12700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584200</xdr:colOff>
      <xdr:row>2</xdr:row>
      <xdr:rowOff>127000</xdr:rowOff>
    </xdr:from>
    <xdr:to>
      <xdr:col>2</xdr:col>
      <xdr:colOff>2036652</xdr:colOff>
      <xdr:row>2</xdr:row>
      <xdr:rowOff>1143001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520700"/>
          <a:ext cx="1452452" cy="10160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28</xdr:row>
      <xdr:rowOff>30480</xdr:rowOff>
    </xdr:from>
    <xdr:to>
      <xdr:col>11</xdr:col>
      <xdr:colOff>30480</xdr:colOff>
      <xdr:row>40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708660</xdr:colOff>
      <xdr:row>40</xdr:row>
      <xdr:rowOff>68580</xdr:rowOff>
    </xdr:from>
    <xdr:to>
      <xdr:col>11</xdr:col>
      <xdr:colOff>53340</xdr:colOff>
      <xdr:row>52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60960</xdr:rowOff>
    </xdr:from>
    <xdr:to>
      <xdr:col>5</xdr:col>
      <xdr:colOff>579120</xdr:colOff>
      <xdr:row>67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2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S103"/>
  <sheetViews>
    <sheetView showGridLines="0" tabSelected="1" zoomScaleNormal="100" workbookViewId="0">
      <pane ySplit="3" topLeftCell="A4" activePane="bottomLeft" state="frozen"/>
      <selection pane="bottomLeft" activeCell="L5" sqref="L5"/>
    </sheetView>
  </sheetViews>
  <sheetFormatPr baseColWidth="10" defaultColWidth="11.5" defaultRowHeight="15" outlineLevelRow="1" x14ac:dyDescent="0.2"/>
  <cols>
    <col min="1" max="1" width="3.5" style="48" customWidth="1"/>
    <col min="2" max="2" width="5.33203125" style="48" customWidth="1"/>
    <col min="3" max="3" width="27.33203125" style="48" customWidth="1"/>
    <col min="4" max="9" width="11.5" style="48"/>
    <col min="10" max="10" width="12.5" style="48" customWidth="1"/>
    <col min="11" max="11" width="14.83203125" style="48" bestFit="1" customWidth="1"/>
    <col min="12" max="16" width="11.5" style="48"/>
    <col min="17" max="17" width="18.5" style="48" customWidth="1"/>
    <col min="18" max="18" width="8.33203125" style="48" customWidth="1"/>
    <col min="19" max="16384" width="11.5" style="48"/>
  </cols>
  <sheetData>
    <row r="1" spans="3:19" ht="16" thickBot="1" x14ac:dyDescent="0.25"/>
    <row r="2" spans="3:19" ht="97" customHeight="1" thickBot="1" x14ac:dyDescent="0.25">
      <c r="C2" s="314"/>
      <c r="D2" s="658" t="s">
        <v>185</v>
      </c>
      <c r="E2" s="659"/>
      <c r="F2" s="659"/>
      <c r="G2" s="659"/>
      <c r="H2" s="660"/>
      <c r="I2" s="660"/>
      <c r="J2" s="660"/>
      <c r="K2" s="661"/>
    </row>
    <row r="3" spans="3:19" ht="17" thickBot="1" x14ac:dyDescent="0.25">
      <c r="C3" s="112"/>
      <c r="D3" s="318">
        <v>2014</v>
      </c>
      <c r="E3" s="319">
        <f>D3+1</f>
        <v>2015</v>
      </c>
      <c r="F3" s="319">
        <f t="shared" ref="F3:P3" si="0">E3+1</f>
        <v>2016</v>
      </c>
      <c r="G3" s="319">
        <f>F3+1</f>
        <v>2017</v>
      </c>
      <c r="H3" s="488">
        <f t="shared" si="0"/>
        <v>2018</v>
      </c>
      <c r="I3" s="618">
        <f t="shared" si="0"/>
        <v>2019</v>
      </c>
      <c r="J3" s="618">
        <f t="shared" si="0"/>
        <v>2020</v>
      </c>
      <c r="K3" s="618">
        <f t="shared" ref="K3" si="1">J3+1</f>
        <v>2021</v>
      </c>
      <c r="L3" s="482">
        <f t="shared" ref="L3" si="2">K3+1</f>
        <v>2022</v>
      </c>
      <c r="M3" s="482">
        <f t="shared" ref="M3" si="3">L3+1</f>
        <v>2023</v>
      </c>
      <c r="N3" s="482">
        <f t="shared" ref="N3" si="4">M3+1</f>
        <v>2024</v>
      </c>
      <c r="O3" s="482">
        <f t="shared" ref="O3" si="5">N3+1</f>
        <v>2025</v>
      </c>
      <c r="P3" s="483">
        <f t="shared" si="0"/>
        <v>2026</v>
      </c>
    </row>
    <row r="4" spans="3:19" ht="17" thickBot="1" x14ac:dyDescent="0.25">
      <c r="C4" s="315" t="s">
        <v>166</v>
      </c>
      <c r="D4" s="110"/>
      <c r="E4" s="111"/>
      <c r="F4" s="111"/>
      <c r="G4" s="111"/>
      <c r="H4" s="619"/>
      <c r="I4" s="588"/>
      <c r="J4" s="588"/>
      <c r="K4" s="588"/>
      <c r="L4" s="588"/>
      <c r="M4" s="588"/>
      <c r="N4" s="588"/>
      <c r="O4" s="588"/>
      <c r="P4" s="620"/>
      <c r="Q4" s="46"/>
      <c r="R4" s="56"/>
    </row>
    <row r="5" spans="3:19" ht="16" x14ac:dyDescent="0.2">
      <c r="C5" s="320" t="s">
        <v>42</v>
      </c>
      <c r="D5" s="321"/>
      <c r="E5" s="322"/>
      <c r="F5" s="322"/>
      <c r="G5" s="583"/>
      <c r="H5" s="621">
        <v>1.1140000000000001</v>
      </c>
      <c r="I5" s="589">
        <v>2.0470000000000002</v>
      </c>
      <c r="J5" s="589">
        <v>1.341</v>
      </c>
      <c r="K5" s="589">
        <v>3.01</v>
      </c>
      <c r="L5" s="590">
        <v>6.5</v>
      </c>
      <c r="M5" s="590">
        <f>(L5*M6)+L5</f>
        <v>10.4</v>
      </c>
      <c r="N5" s="590">
        <f>(M5*N6)+M5</f>
        <v>13.52</v>
      </c>
      <c r="O5" s="590">
        <f>(N5*O6)+N5</f>
        <v>17.576000000000001</v>
      </c>
      <c r="P5" s="622">
        <f>(O5*P6)+O5</f>
        <v>21.97</v>
      </c>
      <c r="Q5" s="46"/>
      <c r="R5" s="56"/>
    </row>
    <row r="6" spans="3:19" ht="16" x14ac:dyDescent="0.2">
      <c r="C6" s="289" t="s">
        <v>61</v>
      </c>
      <c r="D6" s="290"/>
      <c r="E6" s="456" t="str">
        <f t="shared" ref="E6:K6" si="6">IFERROR((E5-D5)/D5,"")</f>
        <v/>
      </c>
      <c r="F6" s="456" t="str">
        <f t="shared" si="6"/>
        <v/>
      </c>
      <c r="G6" s="456" t="str">
        <f>IFERROR((G5-F5)/F5,"")</f>
        <v/>
      </c>
      <c r="H6" s="623" t="str">
        <f t="shared" ref="H6" si="7">IFERROR((H5-G5)/G5,"")</f>
        <v/>
      </c>
      <c r="I6" s="591">
        <f t="shared" ref="I6" si="8">IFERROR((I5-H5)/H5,"")</f>
        <v>0.83752244165170553</v>
      </c>
      <c r="J6" s="591">
        <f t="shared" ref="J6" si="9">IFERROR((J5-I5)/I5,"")</f>
        <v>-0.34489496824621402</v>
      </c>
      <c r="K6" s="591">
        <f t="shared" si="6"/>
        <v>1.2445935868754661</v>
      </c>
      <c r="L6" s="592">
        <f>(L5-K5)/K5</f>
        <v>1.1594684385382061</v>
      </c>
      <c r="M6" s="592">
        <v>0.6</v>
      </c>
      <c r="N6" s="592">
        <v>0.3</v>
      </c>
      <c r="O6" s="592">
        <v>0.3</v>
      </c>
      <c r="P6" s="624">
        <v>0.25</v>
      </c>
      <c r="Q6" s="454"/>
    </row>
    <row r="7" spans="3:19" ht="16" outlineLevel="1" x14ac:dyDescent="0.2">
      <c r="C7" s="323" t="s">
        <v>21</v>
      </c>
      <c r="D7" s="324"/>
      <c r="E7" s="324"/>
      <c r="F7" s="324">
        <v>0.44900000000000001</v>
      </c>
      <c r="G7" s="584">
        <v>0.42799999999999999</v>
      </c>
      <c r="H7" s="625">
        <v>0.113</v>
      </c>
      <c r="I7" s="593">
        <v>0.42799999999999999</v>
      </c>
      <c r="J7" s="593">
        <v>0.44900000000000001</v>
      </c>
      <c r="K7" s="593">
        <v>0.85</v>
      </c>
      <c r="L7" s="594">
        <v>1.8</v>
      </c>
      <c r="M7" s="617">
        <v>2.5</v>
      </c>
      <c r="N7" s="594">
        <v>3</v>
      </c>
      <c r="O7" s="594">
        <v>4</v>
      </c>
      <c r="P7" s="626">
        <v>5</v>
      </c>
      <c r="Q7" s="46"/>
      <c r="R7" s="56"/>
    </row>
    <row r="8" spans="3:19" ht="17" outlineLevel="1" thickBot="1" x14ac:dyDescent="0.25">
      <c r="C8" s="291" t="s">
        <v>54</v>
      </c>
      <c r="D8" s="292" t="str">
        <f t="shared" ref="D8:G8" si="10">IFERROR(D7/D5,"")</f>
        <v/>
      </c>
      <c r="E8" s="293" t="str">
        <f t="shared" si="10"/>
        <v/>
      </c>
      <c r="F8" s="293" t="str">
        <f t="shared" si="10"/>
        <v/>
      </c>
      <c r="G8" s="293" t="str">
        <f t="shared" si="10"/>
        <v/>
      </c>
      <c r="H8" s="627">
        <f>100%-(H7/H5)</f>
        <v>0.8985637342908438</v>
      </c>
      <c r="I8" s="595">
        <f>100%-(I7/I5)</f>
        <v>0.79091353199804593</v>
      </c>
      <c r="J8" s="595">
        <f>100%-(J7/J5)</f>
        <v>0.66517524235645031</v>
      </c>
      <c r="K8" s="595">
        <f>100%-(K7/K5)</f>
        <v>0.71760797342192695</v>
      </c>
      <c r="L8" s="595">
        <f t="shared" ref="L8:P8" si="11">100%-(L7/L5)</f>
        <v>0.72307692307692306</v>
      </c>
      <c r="M8" s="595">
        <f t="shared" si="11"/>
        <v>0.75961538461538458</v>
      </c>
      <c r="N8" s="595">
        <f t="shared" si="11"/>
        <v>0.77810650887573962</v>
      </c>
      <c r="O8" s="595">
        <f t="shared" si="11"/>
        <v>0.77241693218024576</v>
      </c>
      <c r="P8" s="628">
        <f t="shared" si="11"/>
        <v>0.77241693218024576</v>
      </c>
      <c r="Q8" s="563"/>
      <c r="R8" s="56"/>
      <c r="S8" s="655">
        <f>MEDIAN(M6:P6)</f>
        <v>0.3</v>
      </c>
    </row>
    <row r="9" spans="3:19" ht="16" x14ac:dyDescent="0.2">
      <c r="C9" s="325" t="s">
        <v>1</v>
      </c>
      <c r="D9" s="326">
        <f t="shared" ref="D9:G9" si="12">D12+D11</f>
        <v>0</v>
      </c>
      <c r="E9" s="327">
        <f t="shared" si="12"/>
        <v>0</v>
      </c>
      <c r="F9" s="327">
        <f t="shared" si="12"/>
        <v>0</v>
      </c>
      <c r="G9" s="327">
        <f t="shared" si="12"/>
        <v>0</v>
      </c>
      <c r="H9" s="629">
        <f t="shared" ref="H9" si="13">H12+H11</f>
        <v>0.89500000000000002</v>
      </c>
      <c r="I9" s="589">
        <f>I11+I12</f>
        <v>0.58400000000000007</v>
      </c>
      <c r="J9" s="589">
        <f>J12+J11</f>
        <v>-0.84699999999999998</v>
      </c>
      <c r="K9" s="589">
        <f>K12+K11</f>
        <v>-0.17599999999999999</v>
      </c>
      <c r="L9" s="590">
        <f>L12+L11</f>
        <v>1.1985049833887045</v>
      </c>
      <c r="M9" s="590">
        <f t="shared" ref="M9:P9" si="14">M12+M11</f>
        <v>2.4376079734219269</v>
      </c>
      <c r="N9" s="590">
        <f t="shared" si="14"/>
        <v>3.8448903654485052</v>
      </c>
      <c r="O9" s="590">
        <f t="shared" si="14"/>
        <v>5.8771574750830569</v>
      </c>
      <c r="P9" s="622">
        <f t="shared" si="14"/>
        <v>8.4449468438538204</v>
      </c>
      <c r="Q9" s="46"/>
      <c r="R9" s="56"/>
    </row>
    <row r="10" spans="3:19" ht="16" x14ac:dyDescent="0.2">
      <c r="C10" s="294" t="s">
        <v>47</v>
      </c>
      <c r="D10" s="295" t="str">
        <f t="shared" ref="D10:K10" si="15">IFERROR(D9/D5,"")</f>
        <v/>
      </c>
      <c r="E10" s="296" t="str">
        <f t="shared" si="15"/>
        <v/>
      </c>
      <c r="F10" s="296" t="str">
        <f t="shared" si="15"/>
        <v/>
      </c>
      <c r="G10" s="296" t="str">
        <f t="shared" si="15"/>
        <v/>
      </c>
      <c r="H10" s="623">
        <f t="shared" ref="H10:J10" si="16">IFERROR(H9/H5,"")</f>
        <v>0.80341113105924589</v>
      </c>
      <c r="I10" s="591">
        <f t="shared" si="16"/>
        <v>0.28529555446995603</v>
      </c>
      <c r="J10" s="597">
        <f t="shared" si="16"/>
        <v>-0.63161819537658459</v>
      </c>
      <c r="K10" s="597">
        <f t="shared" si="15"/>
        <v>-5.8471760797342197E-2</v>
      </c>
      <c r="L10" s="597">
        <f>L9/L5</f>
        <v>0.18438538205980068</v>
      </c>
      <c r="M10" s="597">
        <f>M9/M5</f>
        <v>0.23438538205980067</v>
      </c>
      <c r="N10" s="597">
        <f>N9/N5</f>
        <v>0.28438538205980068</v>
      </c>
      <c r="O10" s="597">
        <f>O9/O5</f>
        <v>0.33438538205980067</v>
      </c>
      <c r="P10" s="630">
        <f>P9/P5</f>
        <v>0.38438538205980066</v>
      </c>
      <c r="Q10" s="46"/>
      <c r="R10" s="489"/>
    </row>
    <row r="11" spans="3:19" ht="16" x14ac:dyDescent="0.2">
      <c r="C11" s="328" t="s">
        <v>43</v>
      </c>
      <c r="D11" s="329"/>
      <c r="E11" s="330"/>
      <c r="F11" s="330"/>
      <c r="G11" s="585"/>
      <c r="H11" s="631">
        <v>0.88</v>
      </c>
      <c r="I11" s="598">
        <f>0.111+0.021</f>
        <v>0.13200000000000001</v>
      </c>
      <c r="J11" s="599">
        <f>0.244+0.044</f>
        <v>0.28799999999999998</v>
      </c>
      <c r="K11" s="599">
        <f>0.119+0.135</f>
        <v>0.254</v>
      </c>
      <c r="L11" s="600">
        <f>(K11*L6)+K11</f>
        <v>0.54850498338870435</v>
      </c>
      <c r="M11" s="600">
        <f>(L11*M6)+L11</f>
        <v>0.87760797342192687</v>
      </c>
      <c r="N11" s="600">
        <f>(M11*N6)+M11</f>
        <v>1.140890365448505</v>
      </c>
      <c r="O11" s="600">
        <f>(N11*O6)+N11</f>
        <v>1.4831574750830565</v>
      </c>
      <c r="P11" s="632">
        <f>(O11*P6)+O11</f>
        <v>1.8539468438538207</v>
      </c>
      <c r="Q11" s="46"/>
      <c r="R11" s="56"/>
    </row>
    <row r="12" spans="3:19" ht="16" x14ac:dyDescent="0.2">
      <c r="C12" s="331" t="s">
        <v>2</v>
      </c>
      <c r="D12" s="332"/>
      <c r="E12" s="333"/>
      <c r="F12" s="333"/>
      <c r="G12" s="586"/>
      <c r="H12" s="633">
        <v>1.4999999999999999E-2</v>
      </c>
      <c r="I12" s="601">
        <v>0.45200000000000001</v>
      </c>
      <c r="J12" s="601">
        <v>-1.135</v>
      </c>
      <c r="K12" s="601">
        <v>-0.43</v>
      </c>
      <c r="L12" s="602">
        <f>L5*L13</f>
        <v>0.65</v>
      </c>
      <c r="M12" s="602">
        <f>M5*M13</f>
        <v>1.56</v>
      </c>
      <c r="N12" s="602">
        <f>N5*N13</f>
        <v>2.7040000000000002</v>
      </c>
      <c r="O12" s="602">
        <f>O5*O13</f>
        <v>4.3940000000000001</v>
      </c>
      <c r="P12" s="634">
        <f>P5*P13</f>
        <v>6.5909999999999993</v>
      </c>
      <c r="Q12" s="46"/>
      <c r="R12" s="309"/>
    </row>
    <row r="13" spans="3:19" ht="16" x14ac:dyDescent="0.2">
      <c r="C13" s="289" t="s">
        <v>44</v>
      </c>
      <c r="D13" s="297" t="str">
        <f t="shared" ref="D13:G13" si="17">IFERROR(D12/D5,"")</f>
        <v/>
      </c>
      <c r="E13" s="298" t="str">
        <f t="shared" si="17"/>
        <v/>
      </c>
      <c r="F13" s="298" t="str">
        <f t="shared" si="17"/>
        <v/>
      </c>
      <c r="G13" s="298" t="str">
        <f t="shared" si="17"/>
        <v/>
      </c>
      <c r="H13" s="635">
        <f t="shared" ref="H13:I13" si="18">IFERROR(H12/H5,"")</f>
        <v>1.3464991023339316E-2</v>
      </c>
      <c r="I13" s="591">
        <f t="shared" si="18"/>
        <v>0.22081094284318514</v>
      </c>
      <c r="J13" s="597">
        <f>J12/J5</f>
        <v>-0.84638329604772555</v>
      </c>
      <c r="K13" s="597">
        <f>K12/K5</f>
        <v>-0.14285714285714288</v>
      </c>
      <c r="L13" s="597">
        <v>0.1</v>
      </c>
      <c r="M13" s="597">
        <v>0.15</v>
      </c>
      <c r="N13" s="597">
        <v>0.2</v>
      </c>
      <c r="O13" s="597">
        <v>0.25</v>
      </c>
      <c r="P13" s="630">
        <v>0.3</v>
      </c>
      <c r="Q13" s="454"/>
    </row>
    <row r="14" spans="3:19" ht="16" x14ac:dyDescent="0.2">
      <c r="C14" s="294" t="s">
        <v>60</v>
      </c>
      <c r="D14" s="299"/>
      <c r="E14" s="296" t="str">
        <f>IFERROR((E12-D12)/D12,"")</f>
        <v/>
      </c>
      <c r="F14" s="296" t="str">
        <f t="shared" ref="F14:P14" si="19">IFERROR((F12-E12)/E12,"")</f>
        <v/>
      </c>
      <c r="G14" s="296" t="str">
        <f>IFERROR((G12-F12)/F12,"")</f>
        <v/>
      </c>
      <c r="H14" s="623" t="str">
        <f t="shared" ref="H14" si="20">IFERROR((H12-G12)/G12,"")</f>
        <v/>
      </c>
      <c r="I14" s="591">
        <f t="shared" ref="I14" si="21">IFERROR((I12-H12)/H12,"")</f>
        <v>29.133333333333333</v>
      </c>
      <c r="J14" s="591">
        <f t="shared" ref="J14" si="22">IFERROR((J12-I12)/I12,"")</f>
        <v>-3.5110619469026547</v>
      </c>
      <c r="K14" s="591">
        <f t="shared" si="19"/>
        <v>-0.62114537444933926</v>
      </c>
      <c r="L14" s="591">
        <f t="shared" si="19"/>
        <v>-2.5116279069767442</v>
      </c>
      <c r="M14" s="591">
        <f t="shared" si="19"/>
        <v>1.4</v>
      </c>
      <c r="N14" s="591">
        <f t="shared" si="19"/>
        <v>0.73333333333333339</v>
      </c>
      <c r="O14" s="591">
        <f t="shared" si="19"/>
        <v>0.62499999999999989</v>
      </c>
      <c r="P14" s="636">
        <f t="shared" si="19"/>
        <v>0.49999999999999978</v>
      </c>
      <c r="Q14" s="455"/>
    </row>
    <row r="15" spans="3:19" ht="16" x14ac:dyDescent="0.2">
      <c r="C15" s="334" t="s">
        <v>49</v>
      </c>
      <c r="D15" s="329"/>
      <c r="E15" s="330"/>
      <c r="F15" s="330"/>
      <c r="G15" s="585"/>
      <c r="H15" s="631">
        <f>0.012</f>
        <v>1.2E-2</v>
      </c>
      <c r="I15" s="598">
        <f>0.019</f>
        <v>1.9E-2</v>
      </c>
      <c r="J15" s="603">
        <v>0.11</v>
      </c>
      <c r="K15" s="603">
        <f>0.099</f>
        <v>9.9000000000000005E-2</v>
      </c>
      <c r="L15" s="604">
        <f>(K15*$I$28)+K15</f>
        <v>0.1506674750830565</v>
      </c>
      <c r="M15" s="604">
        <f>(L15*$I$28)+L15</f>
        <v>0.22929987927175199</v>
      </c>
      <c r="N15" s="604">
        <f>(M15*$I$28)+M15</f>
        <v>0.34897003885580358</v>
      </c>
      <c r="O15" s="604">
        <f>(N15*$I$28)+N15</f>
        <v>0.53109529933373778</v>
      </c>
      <c r="P15" s="637">
        <f>(O15*$I$28)+O15</f>
        <v>0.80827058362721571</v>
      </c>
      <c r="Q15" s="46"/>
      <c r="R15" s="56"/>
    </row>
    <row r="16" spans="3:19" ht="16" x14ac:dyDescent="0.2">
      <c r="C16" s="300"/>
      <c r="D16" s="300"/>
      <c r="E16" s="457"/>
      <c r="F16" s="457"/>
      <c r="G16" s="457"/>
      <c r="H16" s="638"/>
      <c r="I16" s="605"/>
      <c r="J16" s="605"/>
      <c r="K16" s="605"/>
      <c r="L16" s="596"/>
      <c r="M16" s="596"/>
      <c r="N16" s="596"/>
      <c r="O16" s="596"/>
      <c r="P16" s="639"/>
      <c r="Q16" s="46"/>
      <c r="R16" s="56"/>
    </row>
    <row r="17" spans="3:18" ht="16" x14ac:dyDescent="0.2">
      <c r="C17" s="331" t="s">
        <v>48</v>
      </c>
      <c r="D17" s="331">
        <f t="shared" ref="D17:P17" si="23">D12-D15-D16</f>
        <v>0</v>
      </c>
      <c r="E17" s="458">
        <f t="shared" si="23"/>
        <v>0</v>
      </c>
      <c r="F17" s="458">
        <f t="shared" si="23"/>
        <v>0</v>
      </c>
      <c r="G17" s="458">
        <f t="shared" si="23"/>
        <v>0</v>
      </c>
      <c r="H17" s="640">
        <f t="shared" ref="H17:J17" si="24">H12-H15-H16</f>
        <v>2.9999999999999992E-3</v>
      </c>
      <c r="I17" s="606">
        <f t="shared" si="24"/>
        <v>0.433</v>
      </c>
      <c r="J17" s="607">
        <f t="shared" si="24"/>
        <v>-1.2450000000000001</v>
      </c>
      <c r="K17" s="607">
        <f t="shared" si="23"/>
        <v>-0.52900000000000003</v>
      </c>
      <c r="L17" s="608">
        <f t="shared" si="23"/>
        <v>0.49933252491694352</v>
      </c>
      <c r="M17" s="608">
        <f t="shared" si="23"/>
        <v>1.3307001207282481</v>
      </c>
      <c r="N17" s="608">
        <f t="shared" si="23"/>
        <v>2.3550299611441967</v>
      </c>
      <c r="O17" s="608">
        <f t="shared" si="23"/>
        <v>3.8629047006662622</v>
      </c>
      <c r="P17" s="641">
        <f t="shared" si="23"/>
        <v>5.7827294163727831</v>
      </c>
      <c r="Q17" s="46"/>
      <c r="R17" s="56"/>
    </row>
    <row r="18" spans="3:18" ht="16" x14ac:dyDescent="0.2">
      <c r="C18" s="335" t="s">
        <v>50</v>
      </c>
      <c r="D18" s="329"/>
      <c r="E18" s="408"/>
      <c r="F18" s="408"/>
      <c r="G18" s="408"/>
      <c r="H18" s="631">
        <v>-3.2000000000000001E-2</v>
      </c>
      <c r="I18" s="598">
        <v>4.0000000000000001E-3</v>
      </c>
      <c r="J18" s="609">
        <v>-0.3</v>
      </c>
      <c r="K18" s="609">
        <v>-0.16500000000000001</v>
      </c>
      <c r="L18" s="610">
        <f>IFERROR(L17*L19,"")</f>
        <v>9.9866504983388713E-2</v>
      </c>
      <c r="M18" s="610">
        <f>IFERROR(M17*M19,"")</f>
        <v>0.26614002414564963</v>
      </c>
      <c r="N18" s="610">
        <f>IFERROR(N17*$I$30,"")</f>
        <v>0.47100599222883938</v>
      </c>
      <c r="O18" s="610">
        <f>IFERROR(O17*$I$30,"")</f>
        <v>0.77258094013325251</v>
      </c>
      <c r="P18" s="642">
        <f>IFERROR(P17*$I$30,"")</f>
        <v>1.1565458832745568</v>
      </c>
      <c r="Q18" s="46"/>
      <c r="R18" s="56"/>
    </row>
    <row r="19" spans="3:18" ht="16" x14ac:dyDescent="0.2">
      <c r="C19" s="301" t="s">
        <v>51</v>
      </c>
      <c r="D19" s="302" t="str">
        <f>IFERROR(D18/D17,"")</f>
        <v/>
      </c>
      <c r="E19" s="456" t="str">
        <f t="shared" ref="E19:K19" si="25">IFERROR(E18/E17,"")</f>
        <v/>
      </c>
      <c r="F19" s="456" t="str">
        <f t="shared" si="25"/>
        <v/>
      </c>
      <c r="G19" s="456" t="str">
        <f t="shared" si="25"/>
        <v/>
      </c>
      <c r="H19" s="623">
        <f t="shared" ref="H19:J19" si="26">IFERROR(H18/H17,"")</f>
        <v>-10.66666666666667</v>
      </c>
      <c r="I19" s="591">
        <f t="shared" si="26"/>
        <v>9.2378752886836026E-3</v>
      </c>
      <c r="J19" s="591">
        <f t="shared" si="26"/>
        <v>0.24096385542168672</v>
      </c>
      <c r="K19" s="591">
        <f t="shared" si="25"/>
        <v>0.31190926275992437</v>
      </c>
      <c r="L19" s="592">
        <v>0.2</v>
      </c>
      <c r="M19" s="592">
        <v>0.2</v>
      </c>
      <c r="N19" s="592">
        <v>0.2</v>
      </c>
      <c r="O19" s="592">
        <v>0.2</v>
      </c>
      <c r="P19" s="624">
        <v>0.2</v>
      </c>
      <c r="Q19" s="454"/>
    </row>
    <row r="20" spans="3:18" ht="16" x14ac:dyDescent="0.2">
      <c r="C20" s="289" t="s">
        <v>0</v>
      </c>
      <c r="D20" s="300">
        <f>D17-D18</f>
        <v>0</v>
      </c>
      <c r="E20" s="457">
        <f t="shared" ref="E20:P20" si="27">E17-E18</f>
        <v>0</v>
      </c>
      <c r="F20" s="457">
        <f t="shared" si="27"/>
        <v>0</v>
      </c>
      <c r="G20" s="457">
        <f t="shared" si="27"/>
        <v>0</v>
      </c>
      <c r="H20" s="638">
        <f t="shared" ref="H20:J20" si="28">H17-H18</f>
        <v>3.5000000000000003E-2</v>
      </c>
      <c r="I20" s="605">
        <f t="shared" si="28"/>
        <v>0.42899999999999999</v>
      </c>
      <c r="J20" s="611">
        <f t="shared" si="28"/>
        <v>-0.94500000000000006</v>
      </c>
      <c r="K20" s="611">
        <f t="shared" si="27"/>
        <v>-0.36399999999999999</v>
      </c>
      <c r="L20" s="612">
        <f>L17-L18</f>
        <v>0.39946601993355479</v>
      </c>
      <c r="M20" s="612">
        <f t="shared" si="27"/>
        <v>1.0645600965825985</v>
      </c>
      <c r="N20" s="612">
        <f t="shared" si="27"/>
        <v>1.8840239689153573</v>
      </c>
      <c r="O20" s="612">
        <f t="shared" si="27"/>
        <v>3.0903237605330096</v>
      </c>
      <c r="P20" s="643">
        <f t="shared" si="27"/>
        <v>4.6261835330982262</v>
      </c>
      <c r="Q20" s="46"/>
      <c r="R20" s="56"/>
    </row>
    <row r="21" spans="3:18" ht="16" x14ac:dyDescent="0.2">
      <c r="C21" s="323" t="s">
        <v>45</v>
      </c>
      <c r="D21" s="329"/>
      <c r="E21" s="330"/>
      <c r="F21" s="330"/>
      <c r="G21" s="585"/>
      <c r="H21" s="631"/>
      <c r="I21" s="598"/>
      <c r="J21" s="603"/>
      <c r="K21" s="603"/>
      <c r="L21" s="604"/>
      <c r="M21" s="604"/>
      <c r="N21" s="604"/>
      <c r="O21" s="604"/>
      <c r="P21" s="637"/>
      <c r="Q21" s="46"/>
      <c r="R21" s="56"/>
    </row>
    <row r="22" spans="3:18" ht="17" thickBot="1" x14ac:dyDescent="0.25">
      <c r="C22" s="336" t="s">
        <v>46</v>
      </c>
      <c r="D22" s="337">
        <f t="shared" ref="D22:P22" si="29">D20-D21</f>
        <v>0</v>
      </c>
      <c r="E22" s="337">
        <f t="shared" si="29"/>
        <v>0</v>
      </c>
      <c r="F22" s="337">
        <f t="shared" si="29"/>
        <v>0</v>
      </c>
      <c r="G22" s="337">
        <f t="shared" si="29"/>
        <v>0</v>
      </c>
      <c r="H22" s="644">
        <f t="shared" ref="H22" si="30">H20-H21</f>
        <v>3.5000000000000003E-2</v>
      </c>
      <c r="I22" s="613">
        <f>I17-I18-I21</f>
        <v>0.42899999999999999</v>
      </c>
      <c r="J22" s="613">
        <f>J17-J18-J21</f>
        <v>-0.94500000000000006</v>
      </c>
      <c r="K22" s="613">
        <f>K17-K18-K21</f>
        <v>-0.36399999999999999</v>
      </c>
      <c r="L22" s="602">
        <f t="shared" si="29"/>
        <v>0.39946601993355479</v>
      </c>
      <c r="M22" s="602">
        <f t="shared" si="29"/>
        <v>1.0645600965825985</v>
      </c>
      <c r="N22" s="602">
        <f t="shared" si="29"/>
        <v>1.8840239689153573</v>
      </c>
      <c r="O22" s="602">
        <f t="shared" si="29"/>
        <v>3.0903237605330096</v>
      </c>
      <c r="P22" s="634">
        <f t="shared" si="29"/>
        <v>4.6261835330982262</v>
      </c>
      <c r="Q22" s="46"/>
    </row>
    <row r="23" spans="3:18" ht="16" x14ac:dyDescent="0.2">
      <c r="C23" s="303" t="s">
        <v>52</v>
      </c>
      <c r="D23" s="304" t="str">
        <f t="shared" ref="D23:P23" si="31">IFERROR(D22/D5,"")</f>
        <v/>
      </c>
      <c r="E23" s="305" t="str">
        <f t="shared" si="31"/>
        <v/>
      </c>
      <c r="F23" s="305" t="str">
        <f t="shared" si="31"/>
        <v/>
      </c>
      <c r="G23" s="305" t="str">
        <f t="shared" si="31"/>
        <v/>
      </c>
      <c r="H23" s="645">
        <f t="shared" ref="H23:J23" si="32">IFERROR(H22/H5,"")</f>
        <v>3.141831238779174E-2</v>
      </c>
      <c r="I23" s="614">
        <f t="shared" si="32"/>
        <v>0.20957498778700537</v>
      </c>
      <c r="J23" s="614">
        <f t="shared" si="32"/>
        <v>-0.7046979865771813</v>
      </c>
      <c r="K23" s="614">
        <f t="shared" si="31"/>
        <v>-0.12093023255813955</v>
      </c>
      <c r="L23" s="614">
        <f t="shared" si="31"/>
        <v>6.1456310759008433E-2</v>
      </c>
      <c r="M23" s="614">
        <f t="shared" si="31"/>
        <v>0.10236154774832677</v>
      </c>
      <c r="N23" s="614">
        <f t="shared" si="31"/>
        <v>0.13935088527480455</v>
      </c>
      <c r="O23" s="614">
        <f t="shared" si="31"/>
        <v>0.17582634049459545</v>
      </c>
      <c r="P23" s="646">
        <f t="shared" si="31"/>
        <v>0.21056820815194477</v>
      </c>
      <c r="Q23" s="46"/>
      <c r="R23" s="56"/>
    </row>
    <row r="24" spans="3:18" ht="16" x14ac:dyDescent="0.2">
      <c r="C24" s="348" t="s">
        <v>53</v>
      </c>
      <c r="D24" s="349" t="str">
        <f t="shared" ref="D24:P24" si="33">IFERROR(D22/D25,"")</f>
        <v/>
      </c>
      <c r="E24" s="350" t="str">
        <f t="shared" si="33"/>
        <v/>
      </c>
      <c r="F24" s="350" t="str">
        <f t="shared" si="33"/>
        <v/>
      </c>
      <c r="G24" s="350" t="str">
        <f t="shared" si="33"/>
        <v/>
      </c>
      <c r="H24" s="647">
        <f t="shared" ref="H24:J24" si="34">IFERROR(H22/H25,"")</f>
        <v>5.1357300073367577E-3</v>
      </c>
      <c r="I24" s="615">
        <f t="shared" si="34"/>
        <v>6.2949376375641963E-2</v>
      </c>
      <c r="J24" s="615">
        <f t="shared" si="34"/>
        <v>-0.13866471019809246</v>
      </c>
      <c r="K24" s="615">
        <f t="shared" si="33"/>
        <v>-5.2449567723342937E-2</v>
      </c>
      <c r="L24" s="616">
        <f t="shared" si="33"/>
        <v>5.5791343566138935E-2</v>
      </c>
      <c r="M24" s="616">
        <f t="shared" si="33"/>
        <v>0.1442493355802979</v>
      </c>
      <c r="N24" s="616">
        <f t="shared" si="33"/>
        <v>0.25528780066603757</v>
      </c>
      <c r="O24" s="616">
        <f t="shared" si="33"/>
        <v>0.41874305698279263</v>
      </c>
      <c r="P24" s="648">
        <f t="shared" si="33"/>
        <v>0.62685413727618244</v>
      </c>
      <c r="Q24" s="46"/>
      <c r="R24" s="56"/>
    </row>
    <row r="25" spans="3:18" ht="17" thickBot="1" x14ac:dyDescent="0.25">
      <c r="C25" s="459" t="s">
        <v>55</v>
      </c>
      <c r="D25" s="460"/>
      <c r="E25" s="461"/>
      <c r="F25" s="461"/>
      <c r="G25" s="587"/>
      <c r="H25" s="649">
        <f>I25</f>
        <v>6.8150000000000004</v>
      </c>
      <c r="I25" s="650">
        <f>J25</f>
        <v>6.8150000000000004</v>
      </c>
      <c r="J25" s="650">
        <f>K25-0.125</f>
        <v>6.8150000000000004</v>
      </c>
      <c r="K25" s="650">
        <v>6.94</v>
      </c>
      <c r="L25" s="650">
        <f>K25+0.22</f>
        <v>7.16</v>
      </c>
      <c r="M25" s="650">
        <f>L25+0.22</f>
        <v>7.38</v>
      </c>
      <c r="N25" s="650">
        <f>M25</f>
        <v>7.38</v>
      </c>
      <c r="O25" s="650">
        <f>N25</f>
        <v>7.38</v>
      </c>
      <c r="P25" s="651">
        <f>O25</f>
        <v>7.38</v>
      </c>
      <c r="Q25" s="46"/>
      <c r="R25" s="56"/>
    </row>
    <row r="26" spans="3:18" ht="17" thickBot="1" x14ac:dyDescent="0.25">
      <c r="C26" s="56"/>
      <c r="K26" s="311">
        <f>(K25-J25)/J25</f>
        <v>1.8341892883345562E-2</v>
      </c>
      <c r="L26" s="311">
        <f t="shared" ref="L26:P26" si="35">(L25-K25)/K25</f>
        <v>3.1700288184438E-2</v>
      </c>
      <c r="M26" s="311">
        <f t="shared" si="35"/>
        <v>3.0726256983240188E-2</v>
      </c>
      <c r="N26" s="311">
        <f t="shared" si="35"/>
        <v>0</v>
      </c>
      <c r="O26" s="311">
        <f t="shared" si="35"/>
        <v>0</v>
      </c>
      <c r="P26" s="311">
        <f t="shared" si="35"/>
        <v>0</v>
      </c>
      <c r="Q26" s="56"/>
      <c r="R26" s="70" t="b">
        <v>1</v>
      </c>
    </row>
    <row r="27" spans="3:18" ht="22" thickBot="1" x14ac:dyDescent="0.3">
      <c r="C27" s="56"/>
      <c r="E27" s="671" t="s">
        <v>167</v>
      </c>
      <c r="F27" s="672"/>
      <c r="G27" s="672"/>
      <c r="H27" s="672"/>
      <c r="I27" s="673"/>
      <c r="J27" s="275"/>
      <c r="K27" s="275"/>
      <c r="L27" s="56"/>
      <c r="M27" s="75"/>
      <c r="N27" s="56"/>
      <c r="P27" s="56"/>
      <c r="Q27" s="56"/>
      <c r="R27" s="56"/>
    </row>
    <row r="28" spans="3:18" ht="19.5" customHeight="1" outlineLevel="1" thickBot="1" x14ac:dyDescent="0.3">
      <c r="C28" s="56"/>
      <c r="E28" s="665" t="s">
        <v>42</v>
      </c>
      <c r="F28" s="666"/>
      <c r="G28" s="666"/>
      <c r="H28" s="667"/>
      <c r="I28" s="316">
        <f>AVERAGE(L6:P6)</f>
        <v>0.52189368770764122</v>
      </c>
      <c r="L28" s="56"/>
      <c r="M28" s="75"/>
      <c r="N28" s="56"/>
      <c r="P28" s="56"/>
      <c r="Q28" s="56"/>
      <c r="R28" s="56"/>
    </row>
    <row r="29" spans="3:18" ht="17" outlineLevel="1" thickBot="1" x14ac:dyDescent="0.25">
      <c r="C29" s="56"/>
      <c r="E29" s="665" t="s">
        <v>168</v>
      </c>
      <c r="F29" s="666"/>
      <c r="G29" s="666"/>
      <c r="H29" s="667"/>
      <c r="I29" s="316">
        <v>0.2</v>
      </c>
      <c r="L29" s="56"/>
      <c r="M29" s="56"/>
      <c r="N29" s="56"/>
      <c r="O29" s="56"/>
      <c r="P29" s="56"/>
      <c r="Q29" s="56"/>
      <c r="R29" s="56"/>
    </row>
    <row r="30" spans="3:18" ht="17" outlineLevel="1" thickBot="1" x14ac:dyDescent="0.25">
      <c r="E30" s="668" t="s">
        <v>12</v>
      </c>
      <c r="F30" s="669"/>
      <c r="G30" s="669"/>
      <c r="H30" s="670"/>
      <c r="I30" s="316">
        <v>0.2</v>
      </c>
    </row>
    <row r="31" spans="3:18" outlineLevel="1" x14ac:dyDescent="0.2"/>
    <row r="35" spans="3:11" ht="16" x14ac:dyDescent="0.2">
      <c r="D35" s="662" t="s">
        <v>169</v>
      </c>
      <c r="E35" s="663"/>
      <c r="F35" s="663"/>
      <c r="G35" s="663"/>
      <c r="H35" s="663"/>
      <c r="I35" s="663"/>
      <c r="J35" s="663"/>
      <c r="K35" s="664"/>
    </row>
    <row r="36" spans="3:11" ht="16" x14ac:dyDescent="0.2">
      <c r="D36" s="317">
        <f t="shared" ref="D36:K36" si="36">D3</f>
        <v>2014</v>
      </c>
      <c r="E36" s="317">
        <f t="shared" si="36"/>
        <v>2015</v>
      </c>
      <c r="F36" s="317">
        <f t="shared" si="36"/>
        <v>2016</v>
      </c>
      <c r="G36" s="317">
        <f t="shared" si="36"/>
        <v>2017</v>
      </c>
      <c r="H36" s="317">
        <f t="shared" si="36"/>
        <v>2018</v>
      </c>
      <c r="I36" s="317">
        <f t="shared" si="36"/>
        <v>2019</v>
      </c>
      <c r="J36" s="317">
        <f t="shared" si="36"/>
        <v>2020</v>
      </c>
      <c r="K36" s="317">
        <f t="shared" si="36"/>
        <v>2021</v>
      </c>
    </row>
    <row r="37" spans="3:11" ht="16" x14ac:dyDescent="0.2">
      <c r="C37" s="76" t="s">
        <v>66</v>
      </c>
      <c r="D37" s="339"/>
      <c r="E37" s="340"/>
      <c r="F37" s="341"/>
      <c r="G37" s="338"/>
      <c r="H37" s="338"/>
      <c r="I37" s="338"/>
      <c r="J37" s="338"/>
      <c r="K37" s="342"/>
    </row>
    <row r="38" spans="3:11" x14ac:dyDescent="0.2">
      <c r="C38" s="77" t="s">
        <v>67</v>
      </c>
      <c r="D38" s="78" t="str">
        <f t="shared" ref="D38:K38" si="37">IFERROR(D5/D37,"")</f>
        <v/>
      </c>
      <c r="E38" s="79" t="str">
        <f t="shared" si="37"/>
        <v/>
      </c>
      <c r="F38" s="79" t="str">
        <f t="shared" si="37"/>
        <v/>
      </c>
      <c r="G38" s="79" t="str">
        <f t="shared" si="37"/>
        <v/>
      </c>
      <c r="H38" s="79" t="str">
        <f t="shared" si="37"/>
        <v/>
      </c>
      <c r="I38" s="79" t="str">
        <f t="shared" si="37"/>
        <v/>
      </c>
      <c r="J38" s="79" t="str">
        <f t="shared" si="37"/>
        <v/>
      </c>
      <c r="K38" s="80" t="str">
        <f t="shared" si="37"/>
        <v/>
      </c>
    </row>
    <row r="39" spans="3:11" ht="16" thickBot="1" x14ac:dyDescent="0.25">
      <c r="C39" s="77" t="s">
        <v>68</v>
      </c>
      <c r="D39" s="78" t="str">
        <f>IFERROR((E38-D38)/D38,"")</f>
        <v/>
      </c>
      <c r="E39" s="79" t="str">
        <f t="shared" ref="E39:K39" si="38">IFERROR((F38-E38)/E38,"")</f>
        <v/>
      </c>
      <c r="F39" s="79" t="str">
        <f t="shared" si="38"/>
        <v/>
      </c>
      <c r="G39" s="79" t="str">
        <f t="shared" si="38"/>
        <v/>
      </c>
      <c r="H39" s="79" t="str">
        <f t="shared" si="38"/>
        <v/>
      </c>
      <c r="I39" s="79" t="str">
        <f t="shared" si="38"/>
        <v/>
      </c>
      <c r="J39" s="79" t="str">
        <f t="shared" si="38"/>
        <v/>
      </c>
      <c r="K39" s="80" t="str">
        <f t="shared" si="38"/>
        <v/>
      </c>
    </row>
    <row r="40" spans="3:11" ht="16" x14ac:dyDescent="0.2">
      <c r="C40" s="343" t="s">
        <v>69</v>
      </c>
      <c r="D40" s="344"/>
      <c r="E40" s="345"/>
      <c r="F40" s="345"/>
      <c r="G40" s="346"/>
      <c r="H40" s="346"/>
      <c r="I40" s="346"/>
      <c r="J40" s="346"/>
      <c r="K40" s="347"/>
    </row>
    <row r="78" spans="7:16" x14ac:dyDescent="0.2">
      <c r="G78" s="48" t="s">
        <v>83</v>
      </c>
      <c r="I78" s="134">
        <f>IFERROR(AVERAGE(D13:K13),"")</f>
        <v>-0.188741126259586</v>
      </c>
      <c r="J78" s="134">
        <f>IFERROR(AVERAGE(D13:K13),"")</f>
        <v>-0.188741126259586</v>
      </c>
      <c r="K78" s="134">
        <f>IFERROR(AVERAGE(D13:K13),"")</f>
        <v>-0.188741126259586</v>
      </c>
      <c r="L78" s="134">
        <f>IFERROR(AVERAGE(D13:K13),"")</f>
        <v>-0.188741126259586</v>
      </c>
      <c r="M78" s="134">
        <f>IFERROR(AVERAGE(D13:K13),"")</f>
        <v>-0.188741126259586</v>
      </c>
      <c r="N78" s="134">
        <f>IFERROR(AVERAGE(D13:K13),"")</f>
        <v>-0.188741126259586</v>
      </c>
      <c r="O78" s="134">
        <f>IFERROR(AVERAGE(D13:K13),"")</f>
        <v>-0.188741126259586</v>
      </c>
      <c r="P78" s="134">
        <f>IFERROR(AVERAGE(D13:K13),"")</f>
        <v>-0.188741126259586</v>
      </c>
    </row>
    <row r="79" spans="7:16" x14ac:dyDescent="0.2">
      <c r="G79" s="48" t="s">
        <v>84</v>
      </c>
      <c r="I79" s="134">
        <f>IFERROR(AVERAGE(D23:K23),"")</f>
        <v>-0.14615872974013092</v>
      </c>
      <c r="J79" s="134">
        <f>IFERROR(AVERAGE(D23:K23),"")</f>
        <v>-0.14615872974013092</v>
      </c>
      <c r="K79" s="134">
        <f>IFERROR(AVERAGE(D23:K23),"")</f>
        <v>-0.14615872974013092</v>
      </c>
      <c r="L79" s="134">
        <f>IFERROR(AVERAGE(D23:K23),"")</f>
        <v>-0.14615872974013092</v>
      </c>
      <c r="M79" s="134">
        <f>IFERROR(AVERAGE(D23:K23),"")</f>
        <v>-0.14615872974013092</v>
      </c>
      <c r="N79" s="134">
        <f>IFERROR(AVERAGE(D23:K23),"")</f>
        <v>-0.14615872974013092</v>
      </c>
      <c r="O79" s="134">
        <f>IFERROR(AVERAGE(D23:K23),"")</f>
        <v>-0.14615872974013092</v>
      </c>
      <c r="P79" s="134">
        <f>IFERROR(AVERAGE(D23:K23),"")</f>
        <v>-0.14615872974013092</v>
      </c>
    </row>
    <row r="80" spans="7:16" x14ac:dyDescent="0.2">
      <c r="I80" s="135"/>
      <c r="J80" s="135"/>
      <c r="K80" s="135"/>
      <c r="L80" s="135"/>
      <c r="M80" s="135"/>
      <c r="N80" s="135"/>
      <c r="O80" s="135"/>
      <c r="P80" s="135"/>
    </row>
    <row r="93" spans="3:14" ht="16" x14ac:dyDescent="0.2">
      <c r="D93" s="662" t="s">
        <v>129</v>
      </c>
      <c r="E93" s="663"/>
      <c r="F93" s="663"/>
      <c r="G93" s="663"/>
      <c r="H93" s="663"/>
      <c r="I93" s="663"/>
      <c r="J93" s="663"/>
      <c r="K93" s="664"/>
    </row>
    <row r="94" spans="3:14" ht="17" thickBot="1" x14ac:dyDescent="0.25">
      <c r="D94" s="351">
        <f>D3</f>
        <v>2014</v>
      </c>
      <c r="E94" s="352">
        <f t="shared" ref="E94:K94" si="39">E3</f>
        <v>2015</v>
      </c>
      <c r="F94" s="352">
        <f t="shared" si="39"/>
        <v>2016</v>
      </c>
      <c r="G94" s="352">
        <f t="shared" si="39"/>
        <v>2017</v>
      </c>
      <c r="H94" s="352">
        <f t="shared" si="39"/>
        <v>2018</v>
      </c>
      <c r="I94" s="352">
        <f t="shared" si="39"/>
        <v>2019</v>
      </c>
      <c r="J94" s="352">
        <f t="shared" si="39"/>
        <v>2020</v>
      </c>
      <c r="K94" s="353">
        <f t="shared" si="39"/>
        <v>2021</v>
      </c>
      <c r="L94" s="107">
        <v>8</v>
      </c>
      <c r="M94" s="247"/>
      <c r="N94" s="241">
        <v>2010</v>
      </c>
    </row>
    <row r="95" spans="3:14" ht="16" x14ac:dyDescent="0.2">
      <c r="C95" s="224" t="s">
        <v>130</v>
      </c>
      <c r="D95" s="354"/>
      <c r="E95" s="355"/>
      <c r="F95" s="355"/>
      <c r="G95" s="355"/>
      <c r="H95" s="355"/>
      <c r="I95" s="355"/>
      <c r="J95" s="355"/>
      <c r="K95" s="356"/>
      <c r="L95" s="242" t="str">
        <f>C95</f>
        <v>EMEA</v>
      </c>
      <c r="M95" s="241">
        <f>VLOOKUP($L$95,C95:K98,L94+1,FALSE)</f>
        <v>0</v>
      </c>
      <c r="N95" s="241">
        <v>2011</v>
      </c>
    </row>
    <row r="96" spans="3:14" ht="16" x14ac:dyDescent="0.2">
      <c r="C96" s="225" t="s">
        <v>131</v>
      </c>
      <c r="D96" s="357"/>
      <c r="E96" s="358"/>
      <c r="F96" s="358"/>
      <c r="G96" s="358"/>
      <c r="H96" s="358"/>
      <c r="I96" s="358"/>
      <c r="J96" s="358"/>
      <c r="K96" s="359"/>
      <c r="L96" s="242" t="str">
        <f>C96</f>
        <v>APAC</v>
      </c>
      <c r="M96" s="241">
        <f>VLOOKUP(C96,C96:K99,L94+1,FALSE)</f>
        <v>0</v>
      </c>
      <c r="N96" s="241">
        <v>2012</v>
      </c>
    </row>
    <row r="97" spans="3:14" ht="16" x14ac:dyDescent="0.2">
      <c r="C97" s="225" t="s">
        <v>121</v>
      </c>
      <c r="D97" s="357"/>
      <c r="E97" s="358"/>
      <c r="F97" s="358"/>
      <c r="G97" s="358"/>
      <c r="H97" s="358"/>
      <c r="I97" s="358"/>
      <c r="J97" s="358"/>
      <c r="K97" s="359"/>
      <c r="L97" s="242" t="str">
        <f>C97</f>
        <v>LATAM</v>
      </c>
      <c r="M97" s="241">
        <f>VLOOKUP(C97,C97:K100,L94+1,FALSE)</f>
        <v>0</v>
      </c>
      <c r="N97" s="241">
        <v>2013</v>
      </c>
    </row>
    <row r="98" spans="3:14" ht="17" thickBot="1" x14ac:dyDescent="0.25">
      <c r="C98" s="226" t="s">
        <v>132</v>
      </c>
      <c r="D98" s="360"/>
      <c r="E98" s="361"/>
      <c r="F98" s="361"/>
      <c r="G98" s="361"/>
      <c r="H98" s="361"/>
      <c r="I98" s="361"/>
      <c r="J98" s="361"/>
      <c r="K98" s="362"/>
      <c r="L98" s="242" t="str">
        <f>C98</f>
        <v>NA</v>
      </c>
      <c r="M98" s="241">
        <f>VLOOKUP(C98,C98:K101,L94+1,FALSE)</f>
        <v>0</v>
      </c>
      <c r="N98" s="241">
        <v>2014</v>
      </c>
    </row>
    <row r="99" spans="3:14" x14ac:dyDescent="0.2">
      <c r="L99" s="241"/>
      <c r="M99" s="241"/>
      <c r="N99" s="241">
        <v>2015</v>
      </c>
    </row>
    <row r="100" spans="3:14" x14ac:dyDescent="0.2">
      <c r="D100" s="240">
        <v>3</v>
      </c>
      <c r="E100" s="240" t="str">
        <f>INDEX(C5:C23,D100)</f>
        <v>COGS</v>
      </c>
      <c r="F100" s="240"/>
      <c r="G100" s="240"/>
      <c r="H100" s="240"/>
      <c r="I100" s="240"/>
      <c r="J100" s="240"/>
      <c r="K100" s="240"/>
      <c r="L100" s="107"/>
      <c r="M100" s="241"/>
      <c r="N100" s="241">
        <v>2016</v>
      </c>
    </row>
    <row r="101" spans="3:14" x14ac:dyDescent="0.2">
      <c r="D101" s="240"/>
      <c r="E101" s="240">
        <f>VLOOKUP(E100,C5:K25,2,FALSE)</f>
        <v>0</v>
      </c>
      <c r="F101" s="240">
        <f>VLOOKUP(E100,C5:K25,3,FALSE)</f>
        <v>0</v>
      </c>
      <c r="G101" s="240">
        <f>VLOOKUP(E100,C5:K25,4,FALSE)</f>
        <v>0.44900000000000001</v>
      </c>
      <c r="H101" s="240">
        <f>VLOOKUP(E100,C5:K25,5,FALSE)</f>
        <v>0.42799999999999999</v>
      </c>
      <c r="I101" s="240">
        <f>VLOOKUP(E100,C5:K25,6,FALSE)</f>
        <v>0.113</v>
      </c>
      <c r="J101" s="240">
        <f>VLOOKUP(E100,C5:K25,7,FALSE)</f>
        <v>0.42799999999999999</v>
      </c>
      <c r="K101" s="240">
        <f>VLOOKUP(E100,C5:K25,8,FALSE)</f>
        <v>0.44900000000000001</v>
      </c>
      <c r="L101" s="107">
        <f>VLOOKUP(E100,C5:K25,9,FALSE)</f>
        <v>0.85</v>
      </c>
      <c r="M101" s="241"/>
      <c r="N101" s="241">
        <v>2017</v>
      </c>
    </row>
    <row r="102" spans="3:14" x14ac:dyDescent="0.2">
      <c r="D102" s="240">
        <v>2</v>
      </c>
      <c r="E102" s="240" t="str">
        <f>INDEX(C5:C23,D102)</f>
        <v>Sales Growth %</v>
      </c>
      <c r="F102" s="240"/>
      <c r="G102" s="240"/>
      <c r="H102" s="240"/>
      <c r="I102" s="240"/>
      <c r="J102" s="240"/>
      <c r="K102" s="240"/>
      <c r="L102" s="107"/>
      <c r="M102" s="241"/>
      <c r="N102" s="241"/>
    </row>
    <row r="103" spans="3:14" x14ac:dyDescent="0.2">
      <c r="D103" s="74"/>
      <c r="E103" s="240">
        <f>VLOOKUP(E102,C5:K25,2,FALSE)</f>
        <v>0</v>
      </c>
      <c r="F103" s="240" t="str">
        <f>VLOOKUP(E102,C5:K25,3,FALSE)</f>
        <v/>
      </c>
      <c r="G103" s="240" t="str">
        <f>VLOOKUP(E102,C5:K25,4,FALSE)</f>
        <v/>
      </c>
      <c r="H103" s="240" t="str">
        <f>VLOOKUP(E102,C5:K25,5,FALSE)</f>
        <v/>
      </c>
      <c r="I103" s="240" t="str">
        <f>VLOOKUP(E102,C5:K25,6,FALSE)</f>
        <v/>
      </c>
      <c r="J103" s="240">
        <f>VLOOKUP(E102,C5:K25,7,FALSE)</f>
        <v>0.83752244165170553</v>
      </c>
      <c r="K103" s="240">
        <f>VLOOKUP(E102,C5:K25,8,FALSE)</f>
        <v>-0.34489496824621402</v>
      </c>
      <c r="L103" s="240">
        <f>VLOOKUP(E102,C5:K25,9,FALSE)</f>
        <v>1.2445935868754661</v>
      </c>
    </row>
  </sheetData>
  <sheetProtection selectLockedCells="1"/>
  <mergeCells count="7">
    <mergeCell ref="D2:K2"/>
    <mergeCell ref="D93:K93"/>
    <mergeCell ref="D35:K35"/>
    <mergeCell ref="E28:H28"/>
    <mergeCell ref="E29:H29"/>
    <mergeCell ref="E30:H30"/>
    <mergeCell ref="E27:I27"/>
  </mergeCells>
  <conditionalFormatting sqref="R4:R5 Q4:Q25 R7:R12 R14:R18 R20:R21 R23:R26 L5:P7 L10:P25">
    <cfRule type="expression" dxfId="5" priority="10">
      <formula>$R$26=FALSE</formula>
    </cfRule>
  </conditionalFormatting>
  <conditionalFormatting sqref="I28:I30">
    <cfRule type="expression" dxfId="4" priority="2">
      <formula>$R$26=FALSE</formula>
    </cfRule>
  </conditionalFormatting>
  <conditionalFormatting sqref="L9:P9">
    <cfRule type="expression" dxfId="3" priority="1">
      <formula>$R$26=FALSE</formula>
    </cfRule>
  </conditionalFormatting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11</xdr:col>
                    <xdr:colOff>723900</xdr:colOff>
                    <xdr:row>27</xdr:row>
                    <xdr:rowOff>12700</xdr:rowOff>
                  </from>
                  <to>
                    <xdr:col>12</xdr:col>
                    <xdr:colOff>101600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11</xdr:col>
                    <xdr:colOff>736600</xdr:colOff>
                    <xdr:row>26</xdr:row>
                    <xdr:rowOff>25400</xdr:rowOff>
                  </from>
                  <to>
                    <xdr:col>12</xdr:col>
                    <xdr:colOff>114300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6" name="Drop Down 6">
              <controlPr locked="0" defaultSize="0" autoLine="0" autoPict="0">
                <anchor moveWithCells="1">
                  <from>
                    <xdr:col>2</xdr:col>
                    <xdr:colOff>584200</xdr:colOff>
                    <xdr:row>100</xdr:row>
                    <xdr:rowOff>0</xdr:rowOff>
                  </from>
                  <to>
                    <xdr:col>3</xdr:col>
                    <xdr:colOff>0</xdr:colOff>
                    <xdr:row>101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Drop Down 7">
              <controlPr locked="0" defaultSize="0" autoLine="0" autoPict="0">
                <anchor moveWithCells="1">
                  <from>
                    <xdr:col>2</xdr:col>
                    <xdr:colOff>596900</xdr:colOff>
                    <xdr:row>102</xdr:row>
                    <xdr:rowOff>25400</xdr:rowOff>
                  </from>
                  <to>
                    <xdr:col>3</xdr:col>
                    <xdr:colOff>0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8" name="Drop Down 8">
              <controlPr defaultSize="0" autoLine="0" autoPict="0">
                <anchor moveWithCells="1">
                  <from>
                    <xdr:col>15</xdr:col>
                    <xdr:colOff>330200</xdr:colOff>
                    <xdr:row>78</xdr:row>
                    <xdr:rowOff>38100</xdr:rowOff>
                  </from>
                  <to>
                    <xdr:col>16</xdr:col>
                    <xdr:colOff>1003300</xdr:colOff>
                    <xdr:row>79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AD56"/>
  <sheetViews>
    <sheetView showGridLines="0" topLeftCell="A2" workbookViewId="0">
      <selection activeCell="L8" sqref="L8"/>
    </sheetView>
  </sheetViews>
  <sheetFormatPr baseColWidth="10" defaultColWidth="9.1640625" defaultRowHeight="16" outlineLevelRow="1" x14ac:dyDescent="0.2"/>
  <cols>
    <col min="1" max="1" width="4.1640625" style="56" customWidth="1"/>
    <col min="2" max="2" width="8.33203125" style="56" customWidth="1"/>
    <col min="3" max="3" width="39.33203125" style="56" customWidth="1"/>
    <col min="4" max="4" width="10.33203125" style="56" customWidth="1"/>
    <col min="5" max="6" width="9.33203125" style="56" bestFit="1" customWidth="1"/>
    <col min="7" max="7" width="9.1640625" style="56"/>
    <col min="8" max="8" width="9.83203125" style="56" customWidth="1"/>
    <col min="9" max="10" width="9.1640625" style="56"/>
    <col min="11" max="11" width="12.6640625" style="56" bestFit="1" customWidth="1"/>
    <col min="12" max="12" width="12.5" style="56" customWidth="1"/>
    <col min="13" max="13" width="9.6640625" style="56" customWidth="1"/>
    <col min="14" max="14" width="12.6640625" style="56" bestFit="1" customWidth="1"/>
    <col min="15" max="15" width="13.83203125" style="56" customWidth="1"/>
    <col min="16" max="16" width="14.5" style="56" customWidth="1"/>
    <col min="17" max="16384" width="9.1640625" style="56"/>
  </cols>
  <sheetData>
    <row r="1" spans="3:20" s="48" customFormat="1" thickBot="1" x14ac:dyDescent="0.25"/>
    <row r="2" spans="3:20" s="48" customFormat="1" ht="97" customHeight="1" thickBot="1" x14ac:dyDescent="0.25">
      <c r="C2" s="314"/>
      <c r="D2" s="658" t="s">
        <v>185</v>
      </c>
      <c r="E2" s="659"/>
      <c r="F2" s="659"/>
      <c r="G2" s="659"/>
      <c r="H2" s="659"/>
      <c r="I2" s="659"/>
      <c r="J2" s="659"/>
      <c r="K2" s="684"/>
    </row>
    <row r="3" spans="3:20" ht="15" customHeight="1" thickBot="1" x14ac:dyDescent="0.25"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3:20" ht="15" customHeight="1" thickBot="1" x14ac:dyDescent="0.25">
      <c r="C4" s="374" t="s">
        <v>166</v>
      </c>
      <c r="D4" s="396">
        <f>'Income Statement_P&amp;L'!E3</f>
        <v>2015</v>
      </c>
      <c r="E4" s="375">
        <f>'Income Statement_P&amp;L'!F3</f>
        <v>2016</v>
      </c>
      <c r="F4" s="375">
        <f>'Income Statement_P&amp;L'!G3</f>
        <v>2017</v>
      </c>
      <c r="G4" s="375">
        <f>'Income Statement_P&amp;L'!H3</f>
        <v>2018</v>
      </c>
      <c r="H4" s="375">
        <f>'Income Statement_P&amp;L'!I3</f>
        <v>2019</v>
      </c>
      <c r="I4" s="375">
        <f>'Income Statement_P&amp;L'!J3</f>
        <v>2020</v>
      </c>
      <c r="J4" s="397">
        <f>'Income Statement_P&amp;L'!K3</f>
        <v>2021</v>
      </c>
      <c r="K4" s="365">
        <f t="shared" ref="K4:O4" si="0">J4+1</f>
        <v>2022</v>
      </c>
      <c r="L4" s="363">
        <f t="shared" si="0"/>
        <v>2023</v>
      </c>
      <c r="M4" s="363">
        <f t="shared" si="0"/>
        <v>2024</v>
      </c>
      <c r="N4" s="363">
        <f t="shared" si="0"/>
        <v>2025</v>
      </c>
      <c r="O4" s="366">
        <f t="shared" si="0"/>
        <v>2026</v>
      </c>
      <c r="R4" s="688" t="s">
        <v>170</v>
      </c>
      <c r="S4" s="689"/>
      <c r="T4" s="690"/>
    </row>
    <row r="5" spans="3:20" ht="17" thickBot="1" x14ac:dyDescent="0.25">
      <c r="C5" s="378" t="s">
        <v>146</v>
      </c>
      <c r="D5" s="380"/>
      <c r="E5" s="379"/>
      <c r="F5" s="379"/>
      <c r="G5" s="379"/>
      <c r="H5" s="379"/>
      <c r="I5" s="379"/>
      <c r="J5" s="381"/>
      <c r="K5" s="380"/>
      <c r="L5" s="379"/>
      <c r="M5" s="379"/>
      <c r="N5" s="379"/>
      <c r="O5" s="381"/>
      <c r="R5" s="691"/>
      <c r="S5" s="692"/>
      <c r="T5" s="693"/>
    </row>
    <row r="6" spans="3:20" ht="17" thickBot="1" x14ac:dyDescent="0.25">
      <c r="C6" s="274" t="s">
        <v>70</v>
      </c>
      <c r="D6" s="398"/>
      <c r="E6" s="377"/>
      <c r="F6" s="377"/>
      <c r="G6" s="511">
        <v>0.247</v>
      </c>
      <c r="H6" s="511">
        <v>0.42099999999999999</v>
      </c>
      <c r="I6" s="512">
        <v>0.52500000000000002</v>
      </c>
      <c r="J6" s="513">
        <v>1.5640000000000001</v>
      </c>
      <c r="K6" s="514">
        <f>J6*'Income Statement_P&amp;L'!$I$28+J6</f>
        <v>2.3802417275747509</v>
      </c>
      <c r="L6" s="515">
        <f>K6*'Income Statement_P&amp;L'!$I$28+K6</f>
        <v>3.6224748604143446</v>
      </c>
      <c r="M6" s="515">
        <f>L6*'Income Statement_P&amp;L'!$I$28+L6</f>
        <v>5.5130216239442102</v>
      </c>
      <c r="N6" s="515">
        <f>M6*'Income Statement_P&amp;L'!$I$28+M6</f>
        <v>8.3902328096764229</v>
      </c>
      <c r="O6" s="516">
        <f>N6*'Income Statement_P&amp;L'!$I$28+N6</f>
        <v>12.769042351444096</v>
      </c>
    </row>
    <row r="7" spans="3:20" x14ac:dyDescent="0.2">
      <c r="C7" s="45" t="s">
        <v>147</v>
      </c>
      <c r="D7" s="370"/>
      <c r="E7" s="369"/>
      <c r="F7" s="369"/>
      <c r="G7" s="517"/>
      <c r="H7" s="517"/>
      <c r="I7" s="518"/>
      <c r="J7" s="519"/>
      <c r="K7" s="520"/>
      <c r="L7" s="521"/>
      <c r="M7" s="521"/>
      <c r="N7" s="521"/>
      <c r="O7" s="522"/>
      <c r="R7" s="248" t="s">
        <v>81</v>
      </c>
      <c r="S7" s="249"/>
      <c r="T7" s="250">
        <f>IFERROR(AVERAGE(E19:J19),"")</f>
        <v>0.75805025508186352</v>
      </c>
    </row>
    <row r="8" spans="3:20" ht="17" thickBot="1" x14ac:dyDescent="0.25">
      <c r="C8" s="45" t="s">
        <v>148</v>
      </c>
      <c r="D8" s="370"/>
      <c r="E8" s="369"/>
      <c r="F8" s="369"/>
      <c r="G8" s="517">
        <v>0.20399999999999999</v>
      </c>
      <c r="H8" s="517">
        <v>0.33600000000000002</v>
      </c>
      <c r="I8" s="518">
        <v>0.29799999999999999</v>
      </c>
      <c r="J8" s="519">
        <v>1.4159999999999999</v>
      </c>
      <c r="K8" s="514">
        <f>J8*'Income Statement_P&amp;L'!$I$28+J8</f>
        <v>2.1550014617940199</v>
      </c>
      <c r="L8" s="515">
        <f>K8*'Income Statement_P&amp;L'!$I$28+K8</f>
        <v>3.2796831217050584</v>
      </c>
      <c r="M8" s="515">
        <f>L8*'Income Statement_P&amp;L'!$I$28+L8</f>
        <v>4.9913290406042199</v>
      </c>
      <c r="N8" s="515">
        <f>M8*'Income Statement_P&amp;L'!$I$28+M8</f>
        <v>7.5962721601673993</v>
      </c>
      <c r="O8" s="516">
        <f>N8*'Income Statement_P&amp;L'!$I$28+N8</f>
        <v>11.560718650668054</v>
      </c>
      <c r="P8" s="54"/>
      <c r="Q8" s="259"/>
      <c r="R8" s="47" t="s">
        <v>82</v>
      </c>
      <c r="S8" s="251"/>
      <c r="T8" s="252">
        <f>IFERROR(AVERAGE(E20:J20),"")</f>
        <v>1.6834371589384536</v>
      </c>
    </row>
    <row r="9" spans="3:20" x14ac:dyDescent="0.2">
      <c r="C9" s="274" t="s">
        <v>140</v>
      </c>
      <c r="D9" s="370"/>
      <c r="E9" s="369"/>
      <c r="F9" s="369"/>
      <c r="G9" s="517"/>
      <c r="H9" s="517"/>
      <c r="I9" s="518"/>
      <c r="J9" s="519"/>
      <c r="K9" s="514">
        <f>J9*'Income Statement_P&amp;L'!$I$28+J9</f>
        <v>0</v>
      </c>
      <c r="L9" s="515">
        <f>K9*'Income Statement_P&amp;L'!$I$28+K9</f>
        <v>0</v>
      </c>
      <c r="M9" s="515">
        <f>L9*'Income Statement_P&amp;L'!$I$28+L9</f>
        <v>0</v>
      </c>
      <c r="N9" s="515">
        <f>M9*'Income Statement_P&amp;L'!$I$28+M9</f>
        <v>0</v>
      </c>
      <c r="O9" s="516">
        <f>N9*'Income Statement_P&amp;L'!$I$28+N9</f>
        <v>0</v>
      </c>
      <c r="P9" s="54"/>
      <c r="Q9" s="259"/>
    </row>
    <row r="10" spans="3:20" ht="17" thickBot="1" x14ac:dyDescent="0.25">
      <c r="C10" s="382" t="s">
        <v>136</v>
      </c>
      <c r="D10" s="399"/>
      <c r="E10" s="383"/>
      <c r="F10" s="383"/>
      <c r="G10" s="523">
        <v>0.53</v>
      </c>
      <c r="H10" s="523">
        <v>0.85799999999999998</v>
      </c>
      <c r="I10" s="524">
        <v>1.1160000000000001</v>
      </c>
      <c r="J10" s="525">
        <v>3.1230000000000002</v>
      </c>
      <c r="K10" s="526">
        <f>(J10*'Income Statement_P&amp;L'!$I$28)+J10</f>
        <v>4.7528739867109637</v>
      </c>
      <c r="L10" s="527">
        <f>(K10*'Income Statement_P&amp;L'!$I$28)+K10</f>
        <v>7.233368918845267</v>
      </c>
      <c r="M10" s="527">
        <f>(L10*'Income Statement_P&amp;L'!$I$28)+L10</f>
        <v>11.008418498451256</v>
      </c>
      <c r="N10" s="527">
        <f>(M10*'Income Statement_P&amp;L'!$I$28)+M10</f>
        <v>16.753642624436996</v>
      </c>
      <c r="O10" s="528">
        <f>(N10*'Income Statement_P&amp;L'!$I$28)+N10</f>
        <v>25.497262956240341</v>
      </c>
      <c r="P10" s="54"/>
      <c r="Q10" s="259"/>
    </row>
    <row r="11" spans="3:20" ht="17" thickBot="1" x14ac:dyDescent="0.25">
      <c r="C11" s="378" t="s">
        <v>149</v>
      </c>
      <c r="D11" s="380"/>
      <c r="E11" s="379"/>
      <c r="F11" s="379"/>
      <c r="G11" s="529"/>
      <c r="H11" s="529"/>
      <c r="I11" s="530"/>
      <c r="J11" s="531"/>
      <c r="K11" s="532"/>
      <c r="L11" s="529"/>
      <c r="M11" s="529"/>
      <c r="N11" s="529"/>
      <c r="O11" s="533"/>
    </row>
    <row r="12" spans="3:20" x14ac:dyDescent="0.2">
      <c r="C12" s="274" t="s">
        <v>151</v>
      </c>
      <c r="D12" s="400"/>
      <c r="E12" s="384"/>
      <c r="F12" s="384"/>
      <c r="G12" s="534">
        <v>0.42799999999999999</v>
      </c>
      <c r="H12" s="534">
        <v>0.73099999999999998</v>
      </c>
      <c r="I12" s="535">
        <v>0.64</v>
      </c>
      <c r="J12" s="536">
        <v>0.46700000000000003</v>
      </c>
      <c r="K12" s="514">
        <f>J12*'Income Statement_P&amp;L'!$I$28+J12</f>
        <v>0.7107243521594685</v>
      </c>
      <c r="L12" s="515">
        <f>K12*'Income Statement_P&amp;L'!$I$28+K12</f>
        <v>1.0816469052515978</v>
      </c>
      <c r="M12" s="515">
        <f>L12*'Income Statement_P&amp;L'!$I$28+L12</f>
        <v>1.6461515974309118</v>
      </c>
      <c r="N12" s="515">
        <f>M12*'Income Statement_P&amp;L'!$I$28+M12</f>
        <v>2.5052677251399547</v>
      </c>
      <c r="O12" s="516">
        <f>N12*'Income Statement_P&amp;L'!$I$28+N12</f>
        <v>3.8127511369081786</v>
      </c>
    </row>
    <row r="13" spans="3:20" x14ac:dyDescent="0.2">
      <c r="C13" s="274" t="s">
        <v>143</v>
      </c>
      <c r="D13" s="370"/>
      <c r="E13" s="369"/>
      <c r="F13" s="369"/>
      <c r="G13" s="517">
        <f>0.428+0.046</f>
        <v>0.47399999999999998</v>
      </c>
      <c r="H13" s="517">
        <v>0.73099999999999998</v>
      </c>
      <c r="I13" s="518">
        <f>0.191+0.694</f>
        <v>0.88500000000000001</v>
      </c>
      <c r="J13" s="519">
        <f>0.219+0.512</f>
        <v>0.73099999999999998</v>
      </c>
      <c r="K13" s="537">
        <f>J13*'Income Statement_P&amp;L'!$I$28+J13</f>
        <v>1.1125042857142857</v>
      </c>
      <c r="L13" s="538">
        <f>K13*'Income Statement_P&amp;L'!$I$28+K13</f>
        <v>1.6931132499762698</v>
      </c>
      <c r="M13" s="538">
        <f>L13*'Income Statement_P&amp;L'!$I$28+L13</f>
        <v>2.5767383677130544</v>
      </c>
      <c r="N13" s="538">
        <f>M13*'Income Statement_P&amp;L'!$I$28+M13</f>
        <v>3.9215218566965886</v>
      </c>
      <c r="O13" s="539">
        <f>N13*'Income Statement_P&amp;L'!$I$28+N13</f>
        <v>5.9681393599140868</v>
      </c>
    </row>
    <row r="14" spans="3:20" ht="17" thickBot="1" x14ac:dyDescent="0.25">
      <c r="C14" s="382" t="s">
        <v>137</v>
      </c>
      <c r="D14" s="371"/>
      <c r="E14" s="372"/>
      <c r="F14" s="372"/>
      <c r="G14" s="540">
        <v>0.6</v>
      </c>
      <c r="H14" s="540">
        <v>0.88400000000000001</v>
      </c>
      <c r="I14" s="541">
        <v>1</v>
      </c>
      <c r="J14" s="542">
        <v>0.88900000000000001</v>
      </c>
      <c r="K14" s="543">
        <f>(J14*'Income Statement_P&amp;L'!$I$28)+J14</f>
        <v>1.3529634883720931</v>
      </c>
      <c r="L14" s="544">
        <f>(K14*'Income Statement_P&amp;L'!$I$28)+K14</f>
        <v>2.0590665926523992</v>
      </c>
      <c r="M14" s="544">
        <f>(L14*'Income Statement_P&amp;L'!$I$28)+L14</f>
        <v>3.1336804499273674</v>
      </c>
      <c r="N14" s="544">
        <f>(M14*'Income Statement_P&amp;L'!$I$28)+M14</f>
        <v>4.7691284960373013</v>
      </c>
      <c r="O14" s="545">
        <f>(N14*'Income Statement_P&amp;L'!$I$28)+N14</f>
        <v>7.2581065539858054</v>
      </c>
    </row>
    <row r="15" spans="3:20" x14ac:dyDescent="0.2">
      <c r="C15" s="274" t="s">
        <v>71</v>
      </c>
      <c r="D15" s="371"/>
      <c r="E15" s="372"/>
      <c r="F15" s="372"/>
      <c r="G15" s="540">
        <v>9.4E-2</v>
      </c>
      <c r="H15" s="540">
        <v>0.4</v>
      </c>
      <c r="I15" s="541">
        <v>-0.53800000000000003</v>
      </c>
      <c r="J15" s="542">
        <v>2.1520000000000001</v>
      </c>
      <c r="K15" s="546">
        <f>J15*'Income Statement_P&amp;L'!$I$28+J15</f>
        <v>3.275115215946844</v>
      </c>
      <c r="L15" s="547">
        <f>K15*'Income Statement_P&amp;L'!$I$28+K15</f>
        <v>4.9843771736647504</v>
      </c>
      <c r="M15" s="547">
        <f>L15*'Income Statement_P&amp;L'!$I$28+L15</f>
        <v>7.5856921577544369</v>
      </c>
      <c r="N15" s="547">
        <f>M15*'Income Statement_P&amp;L'!$I$28+M15</f>
        <v>11.544617011779835</v>
      </c>
      <c r="O15" s="548">
        <f>N15*'Income Statement_P&amp;L'!$I$28+N15</f>
        <v>17.569679757229981</v>
      </c>
    </row>
    <row r="16" spans="3:20" x14ac:dyDescent="0.2">
      <c r="C16" s="373" t="s">
        <v>150</v>
      </c>
      <c r="D16" s="367"/>
      <c r="E16" s="368"/>
      <c r="F16" s="368"/>
      <c r="G16" s="549"/>
      <c r="H16" s="549"/>
      <c r="I16" s="549"/>
      <c r="J16" s="550"/>
      <c r="K16" s="551"/>
      <c r="L16" s="549"/>
      <c r="M16" s="549"/>
      <c r="N16" s="549"/>
      <c r="O16" s="550"/>
    </row>
    <row r="17" spans="3:16" x14ac:dyDescent="0.2">
      <c r="C17" s="393" t="s">
        <v>144</v>
      </c>
      <c r="D17" s="239">
        <f>D6+D13+D9+D15</f>
        <v>0</v>
      </c>
      <c r="E17" s="53">
        <f t="shared" ref="E17:F17" si="1">E13-E6+E9+E15</f>
        <v>0</v>
      </c>
      <c r="F17" s="53">
        <f t="shared" si="1"/>
        <v>0</v>
      </c>
      <c r="G17" s="552">
        <f t="shared" ref="G17:H17" si="2">G13-G6+G15</f>
        <v>0.32099999999999995</v>
      </c>
      <c r="H17" s="552">
        <f t="shared" si="2"/>
        <v>0.71</v>
      </c>
      <c r="I17" s="552">
        <f>I13-I6+I15</f>
        <v>-0.17800000000000005</v>
      </c>
      <c r="J17" s="553">
        <f>J13-J6+J15</f>
        <v>1.319</v>
      </c>
      <c r="K17" s="554">
        <f>K13-K6+K15</f>
        <v>2.007377774086379</v>
      </c>
      <c r="L17" s="552">
        <f>L13-L6+L15</f>
        <v>3.0550155632266756</v>
      </c>
      <c r="M17" s="552">
        <f t="shared" ref="M17:O17" si="3">M13-M6+M15</f>
        <v>4.6494089015232811</v>
      </c>
      <c r="N17" s="552">
        <f t="shared" si="3"/>
        <v>7.0759060588000002</v>
      </c>
      <c r="O17" s="553">
        <f t="shared" si="3"/>
        <v>10.768776765699972</v>
      </c>
    </row>
    <row r="18" spans="3:16" ht="17" thickBot="1" x14ac:dyDescent="0.25">
      <c r="C18" s="394" t="s">
        <v>145</v>
      </c>
      <c r="D18" s="229">
        <f>D6+D13+D15</f>
        <v>0</v>
      </c>
      <c r="E18" s="52">
        <f t="shared" ref="E18:I18" si="4">E13-E6+E15</f>
        <v>0</v>
      </c>
      <c r="F18" s="52">
        <f t="shared" si="4"/>
        <v>0</v>
      </c>
      <c r="G18" s="555">
        <f t="shared" si="4"/>
        <v>0.32099999999999995</v>
      </c>
      <c r="H18" s="555">
        <f t="shared" si="4"/>
        <v>0.71</v>
      </c>
      <c r="I18" s="555">
        <f t="shared" si="4"/>
        <v>-0.17800000000000005</v>
      </c>
      <c r="J18" s="556">
        <f>J13-J6+J15-J9</f>
        <v>1.319</v>
      </c>
      <c r="K18" s="557">
        <f>K13-K6+K15-K9</f>
        <v>2.007377774086379</v>
      </c>
      <c r="L18" s="558">
        <f>L13-L6+L15-L9</f>
        <v>3.0550155632266756</v>
      </c>
      <c r="M18" s="558">
        <f t="shared" ref="M18:O18" si="5">M13-M6+M15-M9</f>
        <v>4.6494089015232811</v>
      </c>
      <c r="N18" s="558">
        <f t="shared" si="5"/>
        <v>7.0759060588000002</v>
      </c>
      <c r="O18" s="559">
        <f t="shared" si="5"/>
        <v>10.768776765699972</v>
      </c>
    </row>
    <row r="19" spans="3:16" ht="17" x14ac:dyDescent="0.2">
      <c r="C19" s="395" t="s">
        <v>62</v>
      </c>
      <c r="D19" s="253" t="str">
        <f>IFERROR('Income Statement_P&amp;L'!E22/D15,"")</f>
        <v/>
      </c>
      <c r="E19" s="236" t="str">
        <f>IFERROR('Income Statement_P&amp;L'!F22/E15,"")</f>
        <v/>
      </c>
      <c r="F19" s="236" t="str">
        <f>IFERROR('Income Statement_P&amp;L'!G22/F15,"")</f>
        <v/>
      </c>
      <c r="G19" s="236">
        <f>IFERROR('Income Statement_P&amp;L'!H22/G15,"")</f>
        <v>0.37234042553191493</v>
      </c>
      <c r="H19" s="236">
        <f>IFERROR('Income Statement_P&amp;L'!I22/H15,"")</f>
        <v>1.0725</v>
      </c>
      <c r="I19" s="236">
        <f>IFERROR('Income Statement_P&amp;L'!J22/I15,"")</f>
        <v>1.7565055762081785</v>
      </c>
      <c r="J19" s="254">
        <f>IFERROR('Income Statement_P&amp;L'!K22/J15,"")</f>
        <v>-0.16914498141263939</v>
      </c>
      <c r="K19" s="253">
        <f>IFERROR('Income Statement_P&amp;L'!L22/K15,"")</f>
        <v>0.12197006627080391</v>
      </c>
      <c r="L19" s="236">
        <f>IFERROR('Income Statement_P&amp;L'!M22/L15,"")</f>
        <v>0.21357936197269828</v>
      </c>
      <c r="M19" s="236">
        <f>IFERROR('Income Statement_P&amp;L'!N22/M15,"")</f>
        <v>0.24836546616111002</v>
      </c>
      <c r="N19" s="236">
        <f>IFERROR('Income Statement_P&amp;L'!O22/N15,"")</f>
        <v>0.26768525602709226</v>
      </c>
      <c r="O19" s="254">
        <f>IFERROR('Income Statement_P&amp;L'!P22/O15,"")</f>
        <v>0.26330494334676396</v>
      </c>
    </row>
    <row r="20" spans="3:16" x14ac:dyDescent="0.2">
      <c r="C20" s="395" t="s">
        <v>63</v>
      </c>
      <c r="D20" s="255" t="str">
        <f>IFERROR('Income Statement_P&amp;L'!E12/D18,"")</f>
        <v/>
      </c>
      <c r="E20" s="237" t="str">
        <f>IFERROR('Income Statement_P&amp;L'!F12/E18,"")</f>
        <v/>
      </c>
      <c r="F20" s="237" t="str">
        <f>IFERROR('Income Statement_P&amp;L'!G12/F18,"")</f>
        <v/>
      </c>
      <c r="G20" s="237">
        <f>IFERROR('Income Statement_P&amp;L'!H12/G18,"")</f>
        <v>4.6728971962616828E-2</v>
      </c>
      <c r="H20" s="237">
        <f>IFERROR('Income Statement_P&amp;L'!I12/H18,"")</f>
        <v>0.63661971830985919</v>
      </c>
      <c r="I20" s="237">
        <f>IFERROR('Income Statement_P&amp;L'!J12/I18,"")</f>
        <v>6.3764044943820206</v>
      </c>
      <c r="J20" s="256">
        <f>IFERROR('Income Statement_P&amp;L'!K12/J18,"")</f>
        <v>-0.32600454890068237</v>
      </c>
      <c r="K20" s="255">
        <f>IFERROR('Income Statement_P&amp;L'!L12/K18,"")</f>
        <v>0.32380551802006252</v>
      </c>
      <c r="L20" s="237">
        <f>IFERROR('Income Statement_P&amp;L'!M12/L18,"")</f>
        <v>0.51063569651748164</v>
      </c>
      <c r="M20" s="237">
        <f>IFERROR('Income Statement_P&amp;L'!N12/M18,"")</f>
        <v>0.58157930551431847</v>
      </c>
      <c r="N20" s="237">
        <f>IFERROR('Income Statement_P&amp;L'!O12/N18,"")</f>
        <v>0.62098054489225041</v>
      </c>
      <c r="O20" s="256">
        <f>IFERROR('Income Statement_P&amp;L'!P12/O18,"")</f>
        <v>0.61204723093464397</v>
      </c>
    </row>
    <row r="21" spans="3:16" ht="17" thickBot="1" x14ac:dyDescent="0.25">
      <c r="C21" s="490" t="s">
        <v>183</v>
      </c>
      <c r="D21" s="257" t="str">
        <f>IFERROR('Income Statement_P&amp;L'!E12/D17,"")</f>
        <v/>
      </c>
      <c r="E21" s="238" t="str">
        <f>IFERROR('Income Statement_P&amp;L'!F12/E17,"")</f>
        <v/>
      </c>
      <c r="F21" s="238" t="str">
        <f>IFERROR('Income Statement_P&amp;L'!G12/F17,"")</f>
        <v/>
      </c>
      <c r="G21" s="238">
        <f>IFERROR('Income Statement_P&amp;L'!H12/G17,"")</f>
        <v>4.6728971962616828E-2</v>
      </c>
      <c r="H21" s="238">
        <f>IFERROR('Income Statement_P&amp;L'!I12/H17,"")</f>
        <v>0.63661971830985919</v>
      </c>
      <c r="I21" s="238">
        <f>IFERROR('Income Statement_P&amp;L'!J12/I17,"")</f>
        <v>6.3764044943820206</v>
      </c>
      <c r="J21" s="258">
        <f>IFERROR('Income Statement_P&amp;L'!K12/J17,"")</f>
        <v>-0.32600454890068237</v>
      </c>
      <c r="K21" s="257">
        <f>IFERROR('Income Statement_P&amp;L'!L12/K17,"")</f>
        <v>0.32380551802006252</v>
      </c>
      <c r="L21" s="238">
        <f>IFERROR('Income Statement_P&amp;L'!M12/L17,"")</f>
        <v>0.51063569651748164</v>
      </c>
      <c r="M21" s="238">
        <f>IFERROR('Income Statement_P&amp;L'!N12/M17,"")</f>
        <v>0.58157930551431847</v>
      </c>
      <c r="N21" s="238">
        <f>IFERROR('Income Statement_P&amp;L'!O12/N17,"")</f>
        <v>0.62098054489225041</v>
      </c>
      <c r="O21" s="258">
        <f>IFERROR('Income Statement_P&amp;L'!P12/O17,"")</f>
        <v>0.61204723093464397</v>
      </c>
    </row>
    <row r="22" spans="3:16" ht="17" thickBot="1" x14ac:dyDescent="0.25">
      <c r="C22" s="389" t="s">
        <v>174</v>
      </c>
      <c r="D22" s="390" t="str">
        <f t="shared" ref="D22:I22" si="6">IFERROR(D10/D14,"")</f>
        <v/>
      </c>
      <c r="E22" s="391" t="str">
        <f t="shared" si="6"/>
        <v/>
      </c>
      <c r="F22" s="391" t="str">
        <f t="shared" si="6"/>
        <v/>
      </c>
      <c r="G22" s="391">
        <f t="shared" si="6"/>
        <v>0.88333333333333341</v>
      </c>
      <c r="H22" s="391">
        <f t="shared" si="6"/>
        <v>0.97058823529411764</v>
      </c>
      <c r="I22" s="391">
        <f t="shared" si="6"/>
        <v>1.1160000000000001</v>
      </c>
      <c r="J22" s="392">
        <f>IFERROR(J10/J14,"")</f>
        <v>3.5129358830146233</v>
      </c>
      <c r="K22" s="468">
        <f t="shared" ref="K22:O22" si="7">IFERROR(K10/K14,"")</f>
        <v>3.5129358830146229</v>
      </c>
      <c r="L22" s="469">
        <f t="shared" si="7"/>
        <v>3.5129358830146229</v>
      </c>
      <c r="M22" s="469">
        <f t="shared" si="7"/>
        <v>3.5129358830146225</v>
      </c>
      <c r="N22" s="469">
        <f t="shared" si="7"/>
        <v>3.5129358830146225</v>
      </c>
      <c r="O22" s="470">
        <f t="shared" si="7"/>
        <v>3.512935883014622</v>
      </c>
    </row>
    <row r="23" spans="3:16" outlineLevel="1" x14ac:dyDescent="0.2">
      <c r="M23" s="59"/>
      <c r="N23" s="59"/>
      <c r="O23" s="59"/>
    </row>
    <row r="24" spans="3:16" ht="17" outlineLevel="1" thickBot="1" x14ac:dyDescent="0.25"/>
    <row r="25" spans="3:16" ht="17" outlineLevel="1" thickBot="1" x14ac:dyDescent="0.25">
      <c r="C25" s="685" t="s">
        <v>175</v>
      </c>
      <c r="D25" s="686"/>
      <c r="E25" s="686"/>
      <c r="F25" s="686"/>
      <c r="G25" s="686"/>
      <c r="H25" s="686"/>
      <c r="I25" s="686"/>
      <c r="J25" s="686"/>
      <c r="K25" s="686"/>
      <c r="L25" s="686"/>
      <c r="M25" s="686"/>
      <c r="N25" s="686"/>
      <c r="O25" s="686"/>
      <c r="P25" s="687"/>
    </row>
    <row r="26" spans="3:16" ht="17" outlineLevel="1" thickBot="1" x14ac:dyDescent="0.25">
      <c r="C26" s="260"/>
      <c r="D26" s="261"/>
      <c r="E26" s="364">
        <f>'Income Statement_P&amp;L'!E3</f>
        <v>2015</v>
      </c>
      <c r="F26" s="364">
        <f>'Income Statement_P&amp;L'!F3</f>
        <v>2016</v>
      </c>
      <c r="G26" s="364">
        <f>'Income Statement_P&amp;L'!G3</f>
        <v>2017</v>
      </c>
      <c r="H26" s="364">
        <f>'Income Statement_P&amp;L'!H3</f>
        <v>2018</v>
      </c>
      <c r="I26" s="364">
        <f>'Income Statement_P&amp;L'!I3</f>
        <v>2019</v>
      </c>
      <c r="J26" s="364">
        <f>'Income Statement_P&amp;L'!J3</f>
        <v>2020</v>
      </c>
      <c r="K26" s="364">
        <f>'Income Statement_P&amp;L'!K3</f>
        <v>2021</v>
      </c>
      <c r="L26" s="365">
        <f t="shared" ref="L26" si="8">K26+1</f>
        <v>2022</v>
      </c>
      <c r="M26" s="363">
        <f t="shared" ref="M26" si="9">L26+1</f>
        <v>2023</v>
      </c>
      <c r="N26" s="363">
        <f t="shared" ref="N26" si="10">M26+1</f>
        <v>2024</v>
      </c>
      <c r="O26" s="363">
        <f t="shared" ref="O26" si="11">N26+1</f>
        <v>2025</v>
      </c>
      <c r="P26" s="366">
        <f t="shared" ref="P26" si="12">O26+1</f>
        <v>2026</v>
      </c>
    </row>
    <row r="27" spans="3:16" outlineLevel="1" x14ac:dyDescent="0.2">
      <c r="C27" s="682" t="s">
        <v>39</v>
      </c>
      <c r="D27" s="683"/>
      <c r="E27" s="499">
        <f t="shared" ref="E27:K27" si="13">D7</f>
        <v>0</v>
      </c>
      <c r="F27" s="499">
        <f t="shared" si="13"/>
        <v>0</v>
      </c>
      <c r="G27" s="499">
        <f t="shared" si="13"/>
        <v>0</v>
      </c>
      <c r="H27" s="499">
        <f t="shared" si="13"/>
        <v>0</v>
      </c>
      <c r="I27" s="499">
        <f t="shared" si="13"/>
        <v>0</v>
      </c>
      <c r="J27" s="499">
        <f t="shared" si="13"/>
        <v>0</v>
      </c>
      <c r="K27" s="499">
        <f t="shared" si="13"/>
        <v>0</v>
      </c>
      <c r="L27" s="500">
        <f>K7</f>
        <v>0</v>
      </c>
      <c r="M27" s="499">
        <f>L7</f>
        <v>0</v>
      </c>
      <c r="N27" s="499">
        <f>M7</f>
        <v>0</v>
      </c>
      <c r="O27" s="499">
        <f>N7</f>
        <v>0</v>
      </c>
      <c r="P27" s="501">
        <f>O7</f>
        <v>0</v>
      </c>
    </row>
    <row r="28" spans="3:16" outlineLevel="1" x14ac:dyDescent="0.2">
      <c r="C28" s="694" t="s">
        <v>139</v>
      </c>
      <c r="D28" s="695"/>
      <c r="E28" s="502"/>
      <c r="F28" s="502" t="str">
        <f t="shared" ref="F28:J28" si="14">IFERROR((F27-E27)/E27,"")</f>
        <v/>
      </c>
      <c r="G28" s="502" t="str">
        <f t="shared" si="14"/>
        <v/>
      </c>
      <c r="H28" s="502" t="str">
        <f t="shared" si="14"/>
        <v/>
      </c>
      <c r="I28" s="502" t="str">
        <f t="shared" si="14"/>
        <v/>
      </c>
      <c r="J28" s="502" t="str">
        <f t="shared" si="14"/>
        <v/>
      </c>
      <c r="K28" s="502" t="str">
        <f>IFERROR((K27-J27)/J27,"")</f>
        <v/>
      </c>
      <c r="L28" s="503" t="str">
        <f t="shared" ref="L28" si="15">IFERROR((L27-K27)/K27,"")</f>
        <v/>
      </c>
      <c r="M28" s="502" t="str">
        <f t="shared" ref="M28" si="16">IFERROR((M27-L27)/L27,"")</f>
        <v/>
      </c>
      <c r="N28" s="502" t="str">
        <f t="shared" ref="N28" si="17">IFERROR((N27-M27)/M27,"")</f>
        <v/>
      </c>
      <c r="O28" s="502" t="str">
        <f t="shared" ref="O28" si="18">IFERROR((O27-N27)/N27,"")</f>
        <v/>
      </c>
      <c r="P28" s="504" t="str">
        <f t="shared" ref="P28" si="19">IFERROR((P27-O27)/O27,"")</f>
        <v/>
      </c>
    </row>
    <row r="29" spans="3:16" x14ac:dyDescent="0.2">
      <c r="C29" s="674" t="s">
        <v>64</v>
      </c>
      <c r="D29" s="675"/>
      <c r="E29" s="502" t="str">
        <f>IFERROR((E27/'Income Statement_P&amp;L'!E7)*365,"")</f>
        <v/>
      </c>
      <c r="F29" s="502">
        <f>IFERROR((F27/'Income Statement_P&amp;L'!F7)*365,"")</f>
        <v>0</v>
      </c>
      <c r="G29" s="502">
        <f>IFERROR((G27/'Income Statement_P&amp;L'!G7)*365,"")</f>
        <v>0</v>
      </c>
      <c r="H29" s="502">
        <f>IFERROR((H27/'Income Statement_P&amp;L'!H7)*365,"")</f>
        <v>0</v>
      </c>
      <c r="I29" s="502">
        <f>IFERROR((I27/'Income Statement_P&amp;L'!I7)*365,"")</f>
        <v>0</v>
      </c>
      <c r="J29" s="502">
        <f>IFERROR((J27/'Income Statement_P&amp;L'!J7)*365,"")</f>
        <v>0</v>
      </c>
      <c r="K29" s="502">
        <f>IFERROR((K27/'Income Statement_P&amp;L'!K7)*365,"")</f>
        <v>0</v>
      </c>
      <c r="L29" s="503">
        <f>IFERROR((L27/'Income Statement_P&amp;L'!L7)*365,"")</f>
        <v>0</v>
      </c>
      <c r="M29" s="502">
        <f>IFERROR((M27/'Income Statement_P&amp;L'!M7)*365,"")</f>
        <v>0</v>
      </c>
      <c r="N29" s="502">
        <f>IFERROR((N27/'Income Statement_P&amp;L'!N7)*365,"")</f>
        <v>0</v>
      </c>
      <c r="O29" s="502">
        <f>IFERROR((O27/'Income Statement_P&amp;L'!O7)*365,"")</f>
        <v>0</v>
      </c>
      <c r="P29" s="504">
        <f>IFERROR((P27/'Income Statement_P&amp;L'!P7)*365,"")</f>
        <v>0</v>
      </c>
    </row>
    <row r="30" spans="3:16" x14ac:dyDescent="0.2">
      <c r="C30" s="682" t="s">
        <v>40</v>
      </c>
      <c r="D30" s="683"/>
      <c r="E30" s="505">
        <f t="shared" ref="E30:K30" si="20">D8</f>
        <v>0</v>
      </c>
      <c r="F30" s="505">
        <f t="shared" si="20"/>
        <v>0</v>
      </c>
      <c r="G30" s="505">
        <f t="shared" si="20"/>
        <v>0</v>
      </c>
      <c r="H30" s="505">
        <f t="shared" si="20"/>
        <v>0.20399999999999999</v>
      </c>
      <c r="I30" s="505">
        <f t="shared" si="20"/>
        <v>0.33600000000000002</v>
      </c>
      <c r="J30" s="505">
        <f t="shared" si="20"/>
        <v>0.29799999999999999</v>
      </c>
      <c r="K30" s="505">
        <f t="shared" si="20"/>
        <v>1.4159999999999999</v>
      </c>
      <c r="L30" s="506">
        <f>K8</f>
        <v>2.1550014617940199</v>
      </c>
      <c r="M30" s="505">
        <f>L8</f>
        <v>3.2796831217050584</v>
      </c>
      <c r="N30" s="505">
        <f>M8</f>
        <v>4.9913290406042199</v>
      </c>
      <c r="O30" s="505">
        <f>N8</f>
        <v>7.5962721601673993</v>
      </c>
      <c r="P30" s="507">
        <f>O8</f>
        <v>11.560718650668054</v>
      </c>
    </row>
    <row r="31" spans="3:16" x14ac:dyDescent="0.2">
      <c r="C31" s="676" t="s">
        <v>58</v>
      </c>
      <c r="D31" s="677"/>
      <c r="E31" s="502" t="str">
        <f>IFERROR((E30/'Income Statement_P&amp;L'!E5)*365,"")</f>
        <v/>
      </c>
      <c r="F31" s="502" t="str">
        <f>IFERROR((F30/'Income Statement_P&amp;L'!F5)*365,"")</f>
        <v/>
      </c>
      <c r="G31" s="502" t="str">
        <f>IFERROR((G30/'Income Statement_P&amp;L'!G5)*365,"")</f>
        <v/>
      </c>
      <c r="H31" s="502">
        <f>IFERROR((H30/'Income Statement_P&amp;L'!H5)*365,"")</f>
        <v>66.840215439856365</v>
      </c>
      <c r="I31" s="502">
        <f>IFERROR((I30/'Income Statement_P&amp;L'!I5)*365,"")</f>
        <v>59.912066438690765</v>
      </c>
      <c r="J31" s="502">
        <f>IFERROR((J30/'Income Statement_P&amp;L'!J5)*365,"")</f>
        <v>81.1111111111111</v>
      </c>
      <c r="K31" s="502">
        <f>IFERROR((K30/'Income Statement_P&amp;L'!K5)*365,"")</f>
        <v>171.7076411960133</v>
      </c>
      <c r="L31" s="503">
        <f>IFERROR((L30/'Income Statement_P&amp;L'!L5)*365,"")</f>
        <v>121.01162054689495</v>
      </c>
      <c r="M31" s="502">
        <f>IFERROR((M30/'Income Statement_P&amp;L'!M5)*365,"")</f>
        <v>115.10426340599484</v>
      </c>
      <c r="N31" s="502">
        <f>IFERROR((N30/'Income Statement_P&amp;L'!N5)*365,"")</f>
        <v>134.75111685063166</v>
      </c>
      <c r="O31" s="502">
        <f>IFERROR((O30/'Income Statement_P&amp;L'!O5)*365,"")</f>
        <v>157.75144165117777</v>
      </c>
      <c r="P31" s="504">
        <f>IFERROR((P30/'Income Statement_P&amp;L'!P5)*365,"")</f>
        <v>192.06473862056626</v>
      </c>
    </row>
    <row r="32" spans="3:16" x14ac:dyDescent="0.2">
      <c r="C32" s="678" t="s">
        <v>139</v>
      </c>
      <c r="D32" s="679"/>
      <c r="E32" s="502"/>
      <c r="F32" s="502" t="str">
        <f t="shared" ref="F32:K32" si="21">IFERROR((F30-E30)/E30,"")</f>
        <v/>
      </c>
      <c r="G32" s="502" t="str">
        <f t="shared" si="21"/>
        <v/>
      </c>
      <c r="H32" s="502" t="str">
        <f t="shared" si="21"/>
        <v/>
      </c>
      <c r="I32" s="502">
        <f t="shared" si="21"/>
        <v>0.64705882352941202</v>
      </c>
      <c r="J32" s="502">
        <f t="shared" si="21"/>
        <v>-0.11309523809523819</v>
      </c>
      <c r="K32" s="502">
        <f t="shared" si="21"/>
        <v>3.7516778523489931</v>
      </c>
      <c r="L32" s="503">
        <f t="shared" ref="L32" si="22">IFERROR((L30-K30)/K30,"")</f>
        <v>0.52189368770764122</v>
      </c>
      <c r="M32" s="502">
        <f t="shared" ref="M32" si="23">IFERROR((M30-L30)/L30,"")</f>
        <v>0.52189368770764122</v>
      </c>
      <c r="N32" s="502">
        <f t="shared" ref="N32" si="24">IFERROR((N30-M30)/M30,"")</f>
        <v>0.52189368770764122</v>
      </c>
      <c r="O32" s="502">
        <f t="shared" ref="O32" si="25">IFERROR((O30-N30)/N30,"")</f>
        <v>0.52189368770764122</v>
      </c>
      <c r="P32" s="504">
        <f t="shared" ref="P32" si="26">IFERROR((P30-O30)/O30,"")</f>
        <v>0.52189368770764133</v>
      </c>
    </row>
    <row r="33" spans="3:30" x14ac:dyDescent="0.2">
      <c r="C33" s="682" t="s">
        <v>56</v>
      </c>
      <c r="D33" s="683"/>
      <c r="E33" s="505">
        <f t="shared" ref="E33:K33" si="27">D12</f>
        <v>0</v>
      </c>
      <c r="F33" s="505">
        <f t="shared" si="27"/>
        <v>0</v>
      </c>
      <c r="G33" s="505">
        <f t="shared" si="27"/>
        <v>0</v>
      </c>
      <c r="H33" s="505">
        <f t="shared" si="27"/>
        <v>0.42799999999999999</v>
      </c>
      <c r="I33" s="505">
        <f t="shared" si="27"/>
        <v>0.73099999999999998</v>
      </c>
      <c r="J33" s="505">
        <f t="shared" si="27"/>
        <v>0.64</v>
      </c>
      <c r="K33" s="505">
        <f t="shared" si="27"/>
        <v>0.46700000000000003</v>
      </c>
      <c r="L33" s="506">
        <f>K12</f>
        <v>0.7107243521594685</v>
      </c>
      <c r="M33" s="505">
        <f>L12</f>
        <v>1.0816469052515978</v>
      </c>
      <c r="N33" s="505">
        <f>M12</f>
        <v>1.6461515974309118</v>
      </c>
      <c r="O33" s="505">
        <f>N12</f>
        <v>2.5052677251399547</v>
      </c>
      <c r="P33" s="507">
        <f>O12</f>
        <v>3.8127511369081786</v>
      </c>
      <c r="Q33" s="133">
        <f>IFERROR(AVERAGE(E19:J19),"")</f>
        <v>0.75805025508186352</v>
      </c>
      <c r="R33" s="133">
        <f>IFERROR(AVERAGE(E19:J19),"")</f>
        <v>0.75805025508186352</v>
      </c>
      <c r="S33" s="133">
        <f>IFERROR(AVERAGE(E19:J19),"")</f>
        <v>0.75805025508186352</v>
      </c>
      <c r="T33" s="230">
        <f>IFERROR(AVERAGE(E19:J19),"")</f>
        <v>0.75805025508186352</v>
      </c>
      <c r="U33" s="230">
        <f>IFERROR(AVERAGE(E19:J19),"")</f>
        <v>0.75805025508186352</v>
      </c>
      <c r="V33" s="230">
        <f>IFERROR(AVERAGE(E19:J19),"")</f>
        <v>0.75805025508186352</v>
      </c>
      <c r="W33" s="230">
        <f>IFERROR(AVERAGE(E19:J19),"")</f>
        <v>0.75805025508186352</v>
      </c>
      <c r="X33" s="230">
        <f>IFERROR(AVERAGE(E19:J19),"")</f>
        <v>0.75805025508186352</v>
      </c>
      <c r="Y33" s="230">
        <f>IFERROR(AVERAGE(E19:J19),"")</f>
        <v>0.75805025508186352</v>
      </c>
      <c r="Z33" s="230">
        <f>IFERROR(AVERAGE(E19:J19),"")</f>
        <v>0.75805025508186352</v>
      </c>
      <c r="AA33" s="228"/>
      <c r="AB33" s="228"/>
      <c r="AC33" s="228"/>
      <c r="AD33" s="228"/>
    </row>
    <row r="34" spans="3:30" ht="17" thickBot="1" x14ac:dyDescent="0.25">
      <c r="C34" s="680" t="s">
        <v>57</v>
      </c>
      <c r="D34" s="681"/>
      <c r="E34" s="508" t="str">
        <f>IFERROR((E33/'Income Statement_P&amp;L'!E7)*365,"")</f>
        <v/>
      </c>
      <c r="F34" s="508">
        <f>IFERROR((F33/'Income Statement_P&amp;L'!F7)*365,"")</f>
        <v>0</v>
      </c>
      <c r="G34" s="508">
        <f>IFERROR((G33/'Income Statement_P&amp;L'!G7)*365,"")</f>
        <v>0</v>
      </c>
      <c r="H34" s="508">
        <f>IFERROR((H33/'Income Statement_P&amp;L'!H7)*365,"")</f>
        <v>1382.4778761061946</v>
      </c>
      <c r="I34" s="508">
        <f>IFERROR((I33/'Income Statement_P&amp;L'!I7)*365,"")</f>
        <v>623.39953271028037</v>
      </c>
      <c r="J34" s="508">
        <f>IFERROR((J33/'Income Statement_P&amp;L'!J7)*365,"")</f>
        <v>520.26726057906455</v>
      </c>
      <c r="K34" s="508">
        <f>IFERROR((K33/'Income Statement_P&amp;L'!K7)*365,"")</f>
        <v>200.53529411764706</v>
      </c>
      <c r="L34" s="509">
        <f>IFERROR((L33/'Income Statement_P&amp;L'!L7)*365,"")</f>
        <v>144.11910474344779</v>
      </c>
      <c r="M34" s="508">
        <f>IFERROR((M33/'Income Statement_P&amp;L'!M7)*365,"")</f>
        <v>157.92044816673328</v>
      </c>
      <c r="N34" s="508">
        <f>IFERROR((N33/'Income Statement_P&amp;L'!N7)*365,"")</f>
        <v>200.28177768742759</v>
      </c>
      <c r="O34" s="508">
        <f>IFERROR((O33/'Income Statement_P&amp;L'!O7)*365,"")</f>
        <v>228.60567991902087</v>
      </c>
      <c r="P34" s="510">
        <f>IFERROR((P33/'Income Statement_P&amp;L'!P7)*365,"")</f>
        <v>278.33083299429705</v>
      </c>
      <c r="Q34" s="133">
        <f>IFERROR(AVERAGE(E20:J20),"")</f>
        <v>1.6834371589384536</v>
      </c>
      <c r="R34" s="133">
        <f>IFERROR(AVERAGE(E20:J20),"")</f>
        <v>1.6834371589384536</v>
      </c>
      <c r="S34" s="133">
        <f>IFERROR(AVERAGE(E20:J20),"")</f>
        <v>1.6834371589384536</v>
      </c>
      <c r="T34" s="230">
        <f>IFERROR(AVERAGE(E20:J20),"")</f>
        <v>1.6834371589384536</v>
      </c>
      <c r="U34" s="230">
        <f>IFERROR(AVERAGE(E20:J20),"")</f>
        <v>1.6834371589384536</v>
      </c>
      <c r="V34" s="230">
        <f>IFERROR(AVERAGE(E20:J20),"")</f>
        <v>1.6834371589384536</v>
      </c>
      <c r="W34" s="230">
        <f>IFERROR(AVERAGE(E20:J20),"")</f>
        <v>1.6834371589384536</v>
      </c>
      <c r="X34" s="230">
        <f>IFERROR(AVERAGE(E20:J20),"")</f>
        <v>1.6834371589384536</v>
      </c>
      <c r="Y34" s="230">
        <f>IFERROR(AVERAGE(E20:J20),"")</f>
        <v>1.6834371589384536</v>
      </c>
      <c r="Z34" s="230">
        <f>IFERROR(AVERAGE(E20:J20),"")</f>
        <v>1.6834371589384536</v>
      </c>
      <c r="AA34" s="228"/>
      <c r="AB34" s="228"/>
      <c r="AC34" s="228"/>
      <c r="AD34" s="228"/>
    </row>
    <row r="35" spans="3:30" x14ac:dyDescent="0.2">
      <c r="C35" s="55" t="s">
        <v>175</v>
      </c>
      <c r="D35" s="130"/>
      <c r="E35" s="129">
        <f t="shared" ref="E35:J35" si="28">(E30+E27)-(E33)</f>
        <v>0</v>
      </c>
      <c r="F35" s="129">
        <f t="shared" si="28"/>
        <v>0</v>
      </c>
      <c r="G35" s="129">
        <f t="shared" si="28"/>
        <v>0</v>
      </c>
      <c r="H35" s="129">
        <f t="shared" si="28"/>
        <v>-0.224</v>
      </c>
      <c r="I35" s="129">
        <f t="shared" si="28"/>
        <v>-0.39499999999999996</v>
      </c>
      <c r="J35" s="129">
        <f t="shared" si="28"/>
        <v>-0.34200000000000003</v>
      </c>
      <c r="K35" s="129">
        <f>(K30+K27)-(K33)</f>
        <v>0.94899999999999984</v>
      </c>
      <c r="L35" s="129">
        <f t="shared" ref="L35:P35" si="29">(L30+L27)-(L33)</f>
        <v>1.4442771096345512</v>
      </c>
      <c r="M35" s="129">
        <f t="shared" si="29"/>
        <v>2.1980362164534606</v>
      </c>
      <c r="N35" s="129">
        <f t="shared" si="29"/>
        <v>3.3451774431733083</v>
      </c>
      <c r="O35" s="129">
        <f t="shared" si="29"/>
        <v>5.091004435027445</v>
      </c>
      <c r="P35" s="129">
        <f t="shared" si="29"/>
        <v>7.7479675137598756</v>
      </c>
      <c r="Q35" s="132"/>
      <c r="R35" s="132"/>
      <c r="S35" s="132"/>
    </row>
    <row r="36" spans="3:30" x14ac:dyDescent="0.2">
      <c r="C36" s="55" t="s">
        <v>41</v>
      </c>
      <c r="D36" s="130"/>
      <c r="E36" s="131">
        <f t="shared" ref="E36:J36" si="30">((E27+E30)-(E33))-((D27+D30)-(D33))</f>
        <v>0</v>
      </c>
      <c r="F36" s="131">
        <f t="shared" si="30"/>
        <v>0</v>
      </c>
      <c r="G36" s="131">
        <f t="shared" si="30"/>
        <v>0</v>
      </c>
      <c r="H36" s="131">
        <f t="shared" si="30"/>
        <v>-0.224</v>
      </c>
      <c r="I36" s="131">
        <f t="shared" si="30"/>
        <v>-0.17099999999999996</v>
      </c>
      <c r="J36" s="131">
        <f t="shared" si="30"/>
        <v>5.2999999999999936E-2</v>
      </c>
      <c r="K36" s="131">
        <f>((K27+K30)-(K33))-((J27+J30)-(J33))</f>
        <v>1.2909999999999999</v>
      </c>
      <c r="L36" s="131">
        <f>((L27+L30)-(L33))-((K27+K30)-(K33))</f>
        <v>0.4952771096345514</v>
      </c>
      <c r="M36" s="131">
        <f t="shared" ref="M36:P36" si="31">((M27+M30)-(M33))-((L27+L30)-(L33))</f>
        <v>0.75375910681890934</v>
      </c>
      <c r="N36" s="131">
        <f t="shared" si="31"/>
        <v>1.1471412267198478</v>
      </c>
      <c r="O36" s="131">
        <f t="shared" si="31"/>
        <v>1.7458269918541367</v>
      </c>
      <c r="P36" s="131">
        <f t="shared" si="31"/>
        <v>2.6569630787324305</v>
      </c>
    </row>
    <row r="37" spans="3:30" x14ac:dyDescent="0.2">
      <c r="C37" s="127" t="s">
        <v>80</v>
      </c>
      <c r="D37" s="128"/>
      <c r="E37" s="131" t="str">
        <f t="shared" ref="E37:P37" si="32">IFERROR((E29+E31)-E34,"")</f>
        <v/>
      </c>
      <c r="F37" s="131" t="str">
        <f t="shared" si="32"/>
        <v/>
      </c>
      <c r="G37" s="131" t="str">
        <f t="shared" si="32"/>
        <v/>
      </c>
      <c r="H37" s="131">
        <f t="shared" si="32"/>
        <v>-1315.6376606663382</v>
      </c>
      <c r="I37" s="131">
        <f t="shared" si="32"/>
        <v>-563.4874662715896</v>
      </c>
      <c r="J37" s="131">
        <f t="shared" si="32"/>
        <v>-439.15614946795347</v>
      </c>
      <c r="K37" s="131">
        <f t="shared" si="32"/>
        <v>-28.827652921633756</v>
      </c>
      <c r="L37" s="131">
        <f t="shared" si="32"/>
        <v>-23.107484196552846</v>
      </c>
      <c r="M37" s="131">
        <f t="shared" si="32"/>
        <v>-42.816184760738437</v>
      </c>
      <c r="N37" s="131">
        <f t="shared" si="32"/>
        <v>-65.530660836795931</v>
      </c>
      <c r="O37" s="131">
        <f t="shared" si="32"/>
        <v>-70.854238267843101</v>
      </c>
      <c r="P37" s="131">
        <f t="shared" si="32"/>
        <v>-86.266094373730795</v>
      </c>
    </row>
    <row r="38" spans="3:30" x14ac:dyDescent="0.2">
      <c r="C38" s="126" t="s">
        <v>38</v>
      </c>
      <c r="D38" s="262"/>
      <c r="E38" s="263" t="str">
        <f>IFERROR((E13-E6)/E15,"")</f>
        <v/>
      </c>
      <c r="F38" s="263" t="str">
        <f t="shared" ref="F38:P38" si="33">IFERROR((F13-F6)/F15,"")</f>
        <v/>
      </c>
      <c r="G38" s="263">
        <f t="shared" si="33"/>
        <v>2.4148936170212765</v>
      </c>
      <c r="H38" s="263">
        <f>IFERROR((H13-H6)/H15,"")</f>
        <v>0.77499999999999991</v>
      </c>
      <c r="I38" s="263">
        <f t="shared" si="33"/>
        <v>-0.66914498141263934</v>
      </c>
      <c r="J38" s="263">
        <f t="shared" si="33"/>
        <v>-0.38708178438661711</v>
      </c>
      <c r="K38" s="264">
        <f t="shared" si="33"/>
        <v>-0.38708178438661711</v>
      </c>
      <c r="L38" s="264">
        <f t="shared" si="33"/>
        <v>-0.38708178438661711</v>
      </c>
      <c r="M38" s="264">
        <f t="shared" si="33"/>
        <v>-0.38708178438661717</v>
      </c>
      <c r="N38" s="264">
        <f>IFERROR((N13-N6)/N15,"")</f>
        <v>-0.38708178438661717</v>
      </c>
      <c r="O38" s="264">
        <f t="shared" si="33"/>
        <v>-0.38708178438661722</v>
      </c>
      <c r="P38" s="264" t="str">
        <f t="shared" si="33"/>
        <v/>
      </c>
    </row>
    <row r="39" spans="3:30" x14ac:dyDescent="0.2">
      <c r="C39" s="126"/>
      <c r="D39" s="262"/>
      <c r="E39" s="263"/>
      <c r="F39" s="263"/>
      <c r="G39" s="263"/>
      <c r="H39" s="263"/>
      <c r="I39" s="263"/>
      <c r="J39" s="263"/>
      <c r="K39" s="264"/>
      <c r="L39" s="264"/>
      <c r="M39" s="264"/>
      <c r="N39" s="264"/>
      <c r="O39" s="264"/>
      <c r="P39" s="264"/>
    </row>
    <row r="40" spans="3:30" x14ac:dyDescent="0.2">
      <c r="C40" s="126" t="s">
        <v>135</v>
      </c>
      <c r="D40" s="262"/>
      <c r="E40" s="263" t="str">
        <f>IFERROR(('Income Statement_P&amp;L'!E7-'Income Statement_P&amp;L'!D7)/'Income Statement_P&amp;L'!D7,"")</f>
        <v/>
      </c>
      <c r="F40" s="263" t="str">
        <f>IFERROR(('Income Statement_P&amp;L'!F7-'Income Statement_P&amp;L'!E7)/'Income Statement_P&amp;L'!E7,"")</f>
        <v/>
      </c>
      <c r="G40" s="263">
        <f>IFERROR(('Income Statement_P&amp;L'!G7-'Income Statement_P&amp;L'!F7)/'Income Statement_P&amp;L'!F7,"")</f>
        <v>-4.6770601336302939E-2</v>
      </c>
      <c r="H40" s="263">
        <f>IFERROR(('Income Statement_P&amp;L'!H7-'Income Statement_P&amp;L'!G7)/'Income Statement_P&amp;L'!G7,"")</f>
        <v>-0.73598130841121501</v>
      </c>
      <c r="I40" s="263">
        <f>IFERROR(('Income Statement_P&amp;L'!I7-'Income Statement_P&amp;L'!H7)/'Income Statement_P&amp;L'!H7,"")</f>
        <v>2.7876106194690267</v>
      </c>
      <c r="J40" s="263">
        <f>IFERROR(('Income Statement_P&amp;L'!J7-'Income Statement_P&amp;L'!I7)/'Income Statement_P&amp;L'!I7,"")</f>
        <v>4.9065420560747711E-2</v>
      </c>
      <c r="K40" s="471">
        <f>(J13-J6)/' Cash Flow'!J12</f>
        <v>1.4665492957746482</v>
      </c>
      <c r="L40" s="471">
        <f>(K13-K6)/' Cash Flow'!K12</f>
        <v>-2.6708210566619441</v>
      </c>
      <c r="M40" s="471">
        <f>(L13-L6)/' Cash Flow'!L12</f>
        <v>-1.4014122719596065</v>
      </c>
      <c r="N40" s="471">
        <f>(M13-M6)/' Cash Flow'!M12</f>
        <v>-1.2444657656473488</v>
      </c>
      <c r="O40" s="471">
        <f>(N13-N6)/' Cash Flow'!N12</f>
        <v>-1.1734937604152655</v>
      </c>
      <c r="P40" s="471">
        <f>(O13-O6)/' Cash Flow'!O12</f>
        <v>-1.1900740447924454</v>
      </c>
    </row>
    <row r="41" spans="3:30" x14ac:dyDescent="0.2">
      <c r="C41" s="126" t="s">
        <v>165</v>
      </c>
      <c r="D41" s="262"/>
      <c r="E41" s="263"/>
      <c r="F41" s="263"/>
      <c r="G41" s="263"/>
      <c r="H41" s="263"/>
      <c r="I41" s="263"/>
      <c r="J41" s="263"/>
      <c r="K41" s="471">
        <f>(J13-J6)/'Income Statement_P&amp;L'!K9</f>
        <v>4.7329545454545459</v>
      </c>
      <c r="L41" s="471">
        <f>(K13-K6)/'Income Statement_P&amp;L'!L9</f>
        <v>-1.0577656826056825</v>
      </c>
      <c r="M41" s="471">
        <f>(L13-L6)/'Income Statement_P&amp;L'!M9</f>
        <v>-0.79149790756945504</v>
      </c>
      <c r="N41" s="471">
        <f>(M13-M6)/'Income Statement_P&amp;L'!N9</f>
        <v>-0.76368452079091709</v>
      </c>
      <c r="O41" s="471">
        <f>(N13-N6)/'Income Statement_P&amp;L'!O9</f>
        <v>-0.76035242750011256</v>
      </c>
      <c r="P41" s="471">
        <f>(O13-O6)/'Income Statement_P&amp;L'!P9</f>
        <v>-0.80532217872746747</v>
      </c>
    </row>
    <row r="56" spans="13:13" x14ac:dyDescent="0.2">
      <c r="M56" s="71"/>
    </row>
  </sheetData>
  <sheetProtection selectLockedCells="1"/>
  <mergeCells count="12">
    <mergeCell ref="D2:K2"/>
    <mergeCell ref="C25:P25"/>
    <mergeCell ref="R4:T4"/>
    <mergeCell ref="R5:T5"/>
    <mergeCell ref="C28:D28"/>
    <mergeCell ref="C27:D27"/>
    <mergeCell ref="C29:D29"/>
    <mergeCell ref="C31:D31"/>
    <mergeCell ref="C32:D32"/>
    <mergeCell ref="C34:D34"/>
    <mergeCell ref="C33:D33"/>
    <mergeCell ref="C30:D30"/>
  </mergeCells>
  <dataValidations count="2">
    <dataValidation type="decimal" allowBlank="1" showInputMessage="1" showErrorMessage="1" error="El valor debe ser numérico" sqref="K12:O12 D9:O9 D6:O6 D13:O13 K8:O8 D15:F15 J15:O15" xr:uid="{00000000-0002-0000-0100-000000000000}">
      <formula1>-100000</formula1>
      <formula2>10000000</formula2>
    </dataValidation>
    <dataValidation type="decimal" allowBlank="1" showInputMessage="1" showErrorMessage="1" error="El valor debe ser numérico" sqref="E30:P30 E27:P27 D7:J8 D12:J12 E33:P33" xr:uid="{00000000-0002-0000-0100-000001000000}">
      <formula1>-100000</formula1>
      <formula2>1000000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T40"/>
  <sheetViews>
    <sheetView showGridLines="0" topLeftCell="A3" zoomScaleNormal="100" workbookViewId="0">
      <selection activeCell="P11" sqref="P11"/>
    </sheetView>
  </sheetViews>
  <sheetFormatPr baseColWidth="10" defaultColWidth="9.1640625" defaultRowHeight="16" x14ac:dyDescent="0.2"/>
  <cols>
    <col min="1" max="1" width="3.5" style="48" customWidth="1"/>
    <col min="2" max="2" width="9.5" style="56" customWidth="1"/>
    <col min="3" max="3" width="39" style="48" customWidth="1"/>
    <col min="4" max="4" width="13.1640625" style="48" bestFit="1" customWidth="1"/>
    <col min="5" max="5" width="9.6640625" style="48" bestFit="1" customWidth="1"/>
    <col min="6" max="9" width="10.6640625" style="48" bestFit="1" customWidth="1"/>
    <col min="10" max="10" width="11.83203125" style="48" bestFit="1" customWidth="1"/>
    <col min="11" max="12" width="10.6640625" style="48" bestFit="1" customWidth="1"/>
    <col min="13" max="15" width="11.6640625" style="48" bestFit="1" customWidth="1"/>
    <col min="16" max="16" width="9.1640625" style="48"/>
    <col min="17" max="17" width="11.6640625" style="48" bestFit="1" customWidth="1"/>
    <col min="18" max="16384" width="9.1640625" style="48"/>
  </cols>
  <sheetData>
    <row r="1" spans="2:20" s="313" customFormat="1" ht="15" x14ac:dyDescent="0.2"/>
    <row r="2" spans="2:20" thickBot="1" x14ac:dyDescent="0.25">
      <c r="B2" s="48"/>
    </row>
    <row r="3" spans="2:20" ht="97" customHeight="1" thickBot="1" x14ac:dyDescent="0.25">
      <c r="B3" s="48"/>
      <c r="C3" s="314"/>
      <c r="D3" s="658" t="s">
        <v>185</v>
      </c>
      <c r="E3" s="659"/>
      <c r="F3" s="659"/>
      <c r="G3" s="659"/>
      <c r="H3" s="659"/>
      <c r="I3" s="659"/>
      <c r="J3" s="659"/>
      <c r="K3" s="684"/>
    </row>
    <row r="4" spans="2:20" ht="17" thickBot="1" x14ac:dyDescent="0.25">
      <c r="B4" s="67"/>
      <c r="C4" s="279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</row>
    <row r="5" spans="2:20" ht="15" customHeight="1" thickBot="1" x14ac:dyDescent="0.25">
      <c r="B5" s="65"/>
      <c r="C5" s="374" t="s">
        <v>166</v>
      </c>
      <c r="D5" s="396">
        <f>'Income Statement_P&amp;L'!E3</f>
        <v>2015</v>
      </c>
      <c r="E5" s="375">
        <f>'Income Statement_P&amp;L'!F3</f>
        <v>2016</v>
      </c>
      <c r="F5" s="375">
        <f>'Income Statement_P&amp;L'!G3</f>
        <v>2017</v>
      </c>
      <c r="G5" s="574">
        <f>'Income Statement_P&amp;L'!H3</f>
        <v>2018</v>
      </c>
      <c r="H5" s="574">
        <f>'Income Statement_P&amp;L'!I3</f>
        <v>2019</v>
      </c>
      <c r="I5" s="574">
        <f>'Income Statement_P&amp;L'!J3</f>
        <v>2020</v>
      </c>
      <c r="J5" s="575">
        <f>'Income Statement_P&amp;L'!K3</f>
        <v>2021</v>
      </c>
      <c r="K5" s="576">
        <f>'Income Statement_P&amp;L'!L3</f>
        <v>2022</v>
      </c>
      <c r="L5" s="576">
        <f>'Income Statement_P&amp;L'!M3</f>
        <v>2023</v>
      </c>
      <c r="M5" s="576">
        <f>'Income Statement_P&amp;L'!N3</f>
        <v>2024</v>
      </c>
      <c r="N5" s="576">
        <f>'Income Statement_P&amp;L'!O3</f>
        <v>2025</v>
      </c>
      <c r="O5" s="576">
        <f>'Income Statement_P&amp;L'!P3</f>
        <v>2026</v>
      </c>
    </row>
    <row r="6" spans="2:20" ht="15" customHeight="1" x14ac:dyDescent="0.2">
      <c r="B6" s="65"/>
      <c r="C6" s="243" t="s">
        <v>159</v>
      </c>
      <c r="D6" s="401"/>
      <c r="E6" s="402"/>
      <c r="F6" s="403"/>
      <c r="G6" s="577">
        <v>8.5999999999999993E-2</v>
      </c>
      <c r="H6" s="577">
        <v>7.4999999999999997E-2</v>
      </c>
      <c r="I6" s="577">
        <v>0.16500000000000001</v>
      </c>
      <c r="J6" s="577">
        <v>0.26800000000000002</v>
      </c>
      <c r="K6" s="560">
        <f>(J6*'Income Statement_P&amp;L'!$I$28)+' Cash Flow'!J6</f>
        <v>0.40786750830564789</v>
      </c>
      <c r="L6" s="560">
        <v>0.5</v>
      </c>
      <c r="M6" s="560">
        <v>0.6</v>
      </c>
      <c r="N6" s="560">
        <v>0.7</v>
      </c>
      <c r="O6" s="560">
        <f>N6</f>
        <v>0.7</v>
      </c>
      <c r="P6" s="404"/>
    </row>
    <row r="7" spans="2:20" ht="15.75" customHeight="1" x14ac:dyDescent="0.2">
      <c r="C7" s="244" t="s">
        <v>186</v>
      </c>
      <c r="D7" s="405"/>
      <c r="E7" s="406"/>
      <c r="F7" s="407"/>
      <c r="G7" s="577">
        <f>0.057+0.048</f>
        <v>0.10500000000000001</v>
      </c>
      <c r="H7" s="577">
        <f>0.212+0.074</f>
        <v>0.28599999999999998</v>
      </c>
      <c r="I7" s="577">
        <f>0.016+0.054</f>
        <v>7.0000000000000007E-2</v>
      </c>
      <c r="J7" s="577">
        <v>4.2999999999999997E-2</v>
      </c>
      <c r="K7" s="560">
        <f>(J7*'Income Statement_P&amp;L'!$I$28)+' Cash Flow'!J7</f>
        <v>6.5441428571428567E-2</v>
      </c>
      <c r="L7" s="560">
        <f>K7</f>
        <v>6.5441428571428567E-2</v>
      </c>
      <c r="M7" s="560">
        <f>L7</f>
        <v>6.5441428571428567E-2</v>
      </c>
      <c r="N7" s="560">
        <f>M7</f>
        <v>6.5441428571428567E-2</v>
      </c>
      <c r="O7" s="560">
        <f>N7</f>
        <v>6.5441428571428567E-2</v>
      </c>
      <c r="P7" s="404"/>
    </row>
    <row r="8" spans="2:20" ht="15.75" customHeight="1" x14ac:dyDescent="0.2">
      <c r="C8" s="244" t="s">
        <v>162</v>
      </c>
      <c r="D8" s="484"/>
      <c r="E8" s="408"/>
      <c r="F8" s="409"/>
      <c r="G8" s="577"/>
      <c r="H8" s="577"/>
      <c r="I8" s="577"/>
      <c r="J8" s="577"/>
      <c r="K8" s="560">
        <f>J8+(J8*30%)</f>
        <v>0</v>
      </c>
      <c r="L8" s="560">
        <f>K8+(K8*25%)</f>
        <v>0</v>
      </c>
      <c r="M8" s="560">
        <f t="shared" ref="M8:O8" si="0">L8+(L8*25%)</f>
        <v>0</v>
      </c>
      <c r="N8" s="560">
        <f t="shared" si="0"/>
        <v>0</v>
      </c>
      <c r="O8" s="560">
        <f t="shared" si="0"/>
        <v>0</v>
      </c>
      <c r="P8" s="404"/>
      <c r="Q8" s="491"/>
    </row>
    <row r="9" spans="2:20" x14ac:dyDescent="0.2">
      <c r="C9" s="245" t="s">
        <v>152</v>
      </c>
      <c r="D9" s="411"/>
      <c r="E9" s="410"/>
      <c r="F9" s="410"/>
      <c r="G9" s="561"/>
      <c r="H9" s="561"/>
      <c r="I9" s="561"/>
      <c r="J9" s="561"/>
      <c r="K9" s="561"/>
      <c r="L9" s="561"/>
      <c r="M9" s="561"/>
      <c r="N9" s="561"/>
      <c r="O9" s="561"/>
      <c r="P9" s="404"/>
    </row>
    <row r="10" spans="2:20" x14ac:dyDescent="0.2">
      <c r="C10" s="245" t="s">
        <v>13</v>
      </c>
      <c r="D10" s="485"/>
      <c r="E10" s="412"/>
      <c r="F10" s="413"/>
      <c r="G10" s="578"/>
      <c r="H10" s="578"/>
      <c r="I10" s="578"/>
      <c r="J10" s="578">
        <v>0.14699999999999999</v>
      </c>
      <c r="K10" s="578"/>
      <c r="L10" s="578"/>
      <c r="M10" s="578"/>
      <c r="N10" s="578"/>
      <c r="O10" s="578"/>
      <c r="P10" s="578">
        <f>0.2</f>
        <v>0.2</v>
      </c>
      <c r="Q10" s="578">
        <v>0.2</v>
      </c>
      <c r="R10" s="578">
        <v>0.2</v>
      </c>
      <c r="S10" s="578">
        <v>0.2</v>
      </c>
      <c r="T10" s="578">
        <v>0.2</v>
      </c>
    </row>
    <row r="11" spans="2:20" ht="17" thickBot="1" x14ac:dyDescent="0.25">
      <c r="C11" s="492" t="s">
        <v>184</v>
      </c>
      <c r="D11" s="485"/>
      <c r="E11" s="412"/>
      <c r="F11" s="413"/>
      <c r="G11" s="578">
        <f t="shared" ref="G11:H11" si="1">SUM(G6:G10)</f>
        <v>0.191</v>
      </c>
      <c r="H11" s="578">
        <f t="shared" si="1"/>
        <v>0.36099999999999999</v>
      </c>
      <c r="I11" s="578">
        <f>SUM(I6:I10)</f>
        <v>0.23500000000000001</v>
      </c>
      <c r="J11" s="578">
        <f>SUM(J6:J10)</f>
        <v>0.45799999999999996</v>
      </c>
      <c r="K11" s="578">
        <f t="shared" ref="K11:O11" si="2">SUM(K6:K10)</f>
        <v>0.47330893687707642</v>
      </c>
      <c r="L11" s="578">
        <f t="shared" si="2"/>
        <v>0.56544142857142854</v>
      </c>
      <c r="M11" s="578">
        <f t="shared" si="2"/>
        <v>0.66544142857142852</v>
      </c>
      <c r="N11" s="578">
        <f t="shared" si="2"/>
        <v>0.76544142857142849</v>
      </c>
      <c r="O11" s="578">
        <f t="shared" si="2"/>
        <v>0.76544142857142849</v>
      </c>
      <c r="P11" s="657">
        <f>P10/'Income Statement_P&amp;L'!L5</f>
        <v>3.0769230769230771E-2</v>
      </c>
      <c r="Q11" s="310"/>
    </row>
    <row r="12" spans="2:20" x14ac:dyDescent="0.2">
      <c r="C12" s="466" t="s">
        <v>153</v>
      </c>
      <c r="D12" s="50">
        <f>IFERROR((('Income Statement_P&amp;L'!E9-D6)-('Income Statement_P&amp;L'!E15)-('Income Statement_P&amp;L'!E18)-D9-D7-D10),)</f>
        <v>0</v>
      </c>
      <c r="E12" s="51">
        <f>IFERROR((('Income Statement_P&amp;L'!F9-E6)-('Income Statement_P&amp;L'!F15)-('Income Statement_P&amp;L'!F18)-E9-E7-E10),)</f>
        <v>0</v>
      </c>
      <c r="F12" s="51">
        <f>IFERROR((('Income Statement_P&amp;L'!G9-F6)-('Income Statement_P&amp;L'!G15)-('Income Statement_P&amp;L'!G18)-F9-F7-F10),)</f>
        <v>0</v>
      </c>
      <c r="G12" s="562">
        <f>'Income Statement_P&amp;L'!H9-'Income Statement_P&amp;L'!H15-'Income Statement_P&amp;L'!H18-'Income Statement_P&amp;L'!H21-' Cash Flow'!G11</f>
        <v>0.72399999999999998</v>
      </c>
      <c r="H12" s="562">
        <f>'Income Statement_P&amp;L'!I9-'Income Statement_P&amp;L'!I15-'Income Statement_P&amp;L'!I18-'Income Statement_P&amp;L'!I21-' Cash Flow'!H11</f>
        <v>0.20000000000000007</v>
      </c>
      <c r="I12" s="562">
        <f>'Income Statement_P&amp;L'!J9-'Income Statement_P&amp;L'!J15-'Income Statement_P&amp;L'!J18-'Income Statement_P&amp;L'!J21-' Cash Flow'!I11</f>
        <v>-0.89200000000000002</v>
      </c>
      <c r="J12" s="562">
        <f>'Income Statement_P&amp;L'!K9-'Income Statement_P&amp;L'!K15-'Income Statement_P&amp;L'!K18-'Income Statement_P&amp;L'!K21-' Cash Flow'!J11</f>
        <v>-0.56799999999999995</v>
      </c>
      <c r="K12" s="562">
        <f>'Income Statement_P&amp;L'!L9-'Income Statement_P&amp;L'!L15-'Income Statement_P&amp;L'!L18-'Income Statement_P&amp;L'!L21-' Cash Flow'!K11</f>
        <v>0.47466206644518283</v>
      </c>
      <c r="L12" s="562">
        <f>'Income Statement_P&amp;L'!M9-'Income Statement_P&amp;L'!M15-'Income Statement_P&amp;L'!M18-'Income Statement_P&amp;L'!M21-' Cash Flow'!L11</f>
        <v>1.376726641433097</v>
      </c>
      <c r="M12" s="562">
        <f>'Income Statement_P&amp;L'!N9-'Income Statement_P&amp;L'!N15-'Income Statement_P&amp;L'!N18-'Income Statement_P&amp;L'!N21-' Cash Flow'!M11</f>
        <v>2.3594729057924337</v>
      </c>
      <c r="N12" s="562">
        <f>'Income Statement_P&amp;L'!O9-'Income Statement_P&amp;L'!O15-'Income Statement_P&amp;L'!O18-'Income Statement_P&amp;L'!O21-' Cash Flow'!N11</f>
        <v>3.8080398070446377</v>
      </c>
      <c r="O12" s="562">
        <f>'Income Statement_P&amp;L'!P9-'Income Statement_P&amp;L'!P15-'Income Statement_P&amp;L'!P18-'Income Statement_P&amp;L'!P21-' Cash Flow'!O11</f>
        <v>5.7146889483806191</v>
      </c>
    </row>
    <row r="13" spans="2:20" ht="17" thickBot="1" x14ac:dyDescent="0.25">
      <c r="C13" s="467" t="s">
        <v>79</v>
      </c>
      <c r="D13" s="486">
        <f>D12-Balance!E36</f>
        <v>0</v>
      </c>
      <c r="E13" s="465">
        <f>E12-Balance!F36</f>
        <v>0</v>
      </c>
      <c r="F13" s="465">
        <f>F12-Balance!G36</f>
        <v>0</v>
      </c>
      <c r="G13" s="562">
        <f>G12-Balance!H36</f>
        <v>0.94799999999999995</v>
      </c>
      <c r="H13" s="562">
        <f>H12-Balance!I36</f>
        <v>0.371</v>
      </c>
      <c r="I13" s="562">
        <f>I12-Balance!J36</f>
        <v>-0.94499999999999995</v>
      </c>
      <c r="J13" s="562">
        <f>J12-Balance!K36</f>
        <v>-1.859</v>
      </c>
      <c r="K13" s="562">
        <f>K12-Balance!L36</f>
        <v>-2.0615043189368576E-2</v>
      </c>
      <c r="L13" s="562">
        <f>L12-Balance!M36</f>
        <v>0.62296753461418763</v>
      </c>
      <c r="M13" s="562">
        <f>M12-Balance!N36</f>
        <v>1.212331679072586</v>
      </c>
      <c r="N13" s="562">
        <f>N12-Balance!O36</f>
        <v>2.062212815190501</v>
      </c>
      <c r="O13" s="562">
        <f>O12-Balance!P36</f>
        <v>3.0577258696481886</v>
      </c>
      <c r="P13" s="404"/>
    </row>
    <row r="14" spans="2:20" x14ac:dyDescent="0.2">
      <c r="C14" s="462" t="s">
        <v>182</v>
      </c>
      <c r="D14" s="463"/>
      <c r="E14" s="464"/>
      <c r="F14" s="464"/>
      <c r="G14" s="472" t="e">
        <f>(G12-F12)/F12</f>
        <v>#DIV/0!</v>
      </c>
      <c r="H14" s="472">
        <f>(H12-G12)/G12</f>
        <v>-0.72375690607734799</v>
      </c>
      <c r="I14" s="472">
        <f>(I12-H12)/H12</f>
        <v>-5.4599999999999982</v>
      </c>
      <c r="J14" s="472">
        <f>(J12-I12)/I12</f>
        <v>-0.36322869955156956</v>
      </c>
      <c r="K14" s="472">
        <f>(K12-J12)/J12</f>
        <v>-1.8356726521922231</v>
      </c>
      <c r="L14" s="472">
        <f t="shared" ref="L14:O14" si="3">(L12-K12)/K12</f>
        <v>1.9004353597152062</v>
      </c>
      <c r="M14" s="472">
        <f t="shared" si="3"/>
        <v>0.7138281738605361</v>
      </c>
      <c r="N14" s="472">
        <f>(N12-M12)/M12</f>
        <v>0.61393665411288112</v>
      </c>
      <c r="O14" s="472">
        <f t="shared" si="3"/>
        <v>0.50069044388895267</v>
      </c>
    </row>
    <row r="15" spans="2:20" x14ac:dyDescent="0.2">
      <c r="C15" s="451" t="s">
        <v>180</v>
      </c>
      <c r="D15" s="307"/>
      <c r="E15" s="308"/>
      <c r="F15" s="308"/>
      <c r="G15" s="472">
        <f>G12/'Income Statement_P&amp;L'!H5</f>
        <v>0.64991023339317766</v>
      </c>
      <c r="H15" s="472">
        <f>H12/'Income Statement_P&amp;L'!I5</f>
        <v>9.7703957010258941E-2</v>
      </c>
      <c r="I15" s="472">
        <f>I12/'Income Statement_P&amp;L'!J5</f>
        <v>-0.66517524235645042</v>
      </c>
      <c r="J15" s="472">
        <f>J12/'Income Statement_P&amp;L'!K5</f>
        <v>-0.18870431893687709</v>
      </c>
      <c r="K15" s="472">
        <f>K12/'Income Statement_P&amp;L'!L5</f>
        <v>7.3024933299258896E-2</v>
      </c>
      <c r="L15" s="472">
        <f>L12/'Income Statement_P&amp;L'!M5</f>
        <v>0.13237756167625933</v>
      </c>
      <c r="M15" s="472">
        <f>M12/'Income Statement_P&amp;L'!N5</f>
        <v>0.17451722675979539</v>
      </c>
      <c r="N15" s="472">
        <f>N12/'Income Statement_P&amp;L'!O5</f>
        <v>0.21666134541674087</v>
      </c>
      <c r="O15" s="472">
        <f>O12/'Income Statement_P&amp;L'!P5</f>
        <v>0.2601132885016213</v>
      </c>
    </row>
    <row r="16" spans="2:20" x14ac:dyDescent="0.2">
      <c r="C16" s="451" t="s">
        <v>176</v>
      </c>
      <c r="D16" s="463"/>
      <c r="E16" s="464"/>
      <c r="F16" s="464"/>
      <c r="G16" s="472">
        <f>G13/'Income Statement_P&amp;L'!H9</f>
        <v>1.0592178770949721</v>
      </c>
      <c r="H16" s="472">
        <f>H13/'Income Statement_P&amp;L'!I9</f>
        <v>0.63527397260273966</v>
      </c>
      <c r="I16" s="472">
        <f>I13/'Income Statement_P&amp;L'!J9</f>
        <v>1.115702479338843</v>
      </c>
      <c r="J16" s="472">
        <f>J13/'Income Statement_P&amp;L'!K9</f>
        <v>10.5625</v>
      </c>
      <c r="K16" s="472">
        <f>K13/'Income Statement_P&amp;L'!L9</f>
        <v>-1.7200632016631853E-2</v>
      </c>
      <c r="L16" s="472">
        <f>L13/'Income Statement_P&amp;L'!M9</f>
        <v>0.25556510374375846</v>
      </c>
      <c r="M16" s="472">
        <f>M13/'Income Statement_P&amp;L'!N9</f>
        <v>0.31530981740520131</v>
      </c>
      <c r="N16" s="472">
        <f>N13/'Income Statement_P&amp;L'!O9</f>
        <v>0.35088609143680594</v>
      </c>
      <c r="O16" s="472">
        <f>O13/'Income Statement_P&amp;L'!P9</f>
        <v>0.36207757445786437</v>
      </c>
    </row>
    <row r="17" spans="2:16" x14ac:dyDescent="0.2">
      <c r="C17" s="451" t="s">
        <v>181</v>
      </c>
      <c r="D17" s="463"/>
      <c r="E17" s="464"/>
      <c r="F17" s="464"/>
      <c r="G17" s="472">
        <f>(G12/'Income Statement_P&amp;L'!H25)/Valuation!$H$7</f>
        <v>3.3198826118855461E-2</v>
      </c>
      <c r="H17" s="472">
        <f>(H12/'Income Statement_P&amp;L'!I25)/Valuation!$H$7</f>
        <v>9.1709464416727827E-3</v>
      </c>
      <c r="I17" s="472">
        <f>(I12/'Income Statement_P&amp;L'!J25)/Valuation!$H$7</f>
        <v>-4.0902421129860596E-2</v>
      </c>
      <c r="J17" s="472">
        <f>(J12/'Income Statement_P&amp;L'!K25)/Valuation!$H$7</f>
        <v>-2.5576368876080689E-2</v>
      </c>
      <c r="K17" s="472">
        <f>(K12/'Income Statement_P&amp;L'!L25)/Valuation!$H$7</f>
        <v>2.0716745218452459E-2</v>
      </c>
      <c r="L17" s="472">
        <f>(L12/'Income Statement_P&amp;L'!M25)/Valuation!$H$7</f>
        <v>5.8296351686699568E-2</v>
      </c>
      <c r="M17" s="472">
        <f>(M12/'Income Statement_P&amp;L'!N25)/Valuation!$H$7</f>
        <v>9.9909929953947915E-2</v>
      </c>
      <c r="N17" s="472">
        <f>(N12/'Income Statement_P&amp;L'!O25)/Valuation!$H$7</f>
        <v>0.161248298062527</v>
      </c>
      <c r="O17" s="472">
        <f>(O12/'Income Statement_P&amp;L'!P25)/Valuation!$H$7</f>
        <v>0.24198377999579179</v>
      </c>
    </row>
    <row r="18" spans="2:16" ht="18" thickBot="1" x14ac:dyDescent="0.25">
      <c r="C18" s="453" t="s">
        <v>154</v>
      </c>
      <c r="D18" s="246" t="str">
        <f>IFERROR(D12/'Income Statement_P&amp;L'!E25,"")</f>
        <v/>
      </c>
      <c r="E18" s="73" t="str">
        <f>IFERROR(E12/'Income Statement_P&amp;L'!F25,"")</f>
        <v/>
      </c>
      <c r="F18" s="73" t="str">
        <f>IFERROR(F12/'Income Statement_P&amp;L'!G25,"")</f>
        <v/>
      </c>
      <c r="G18" s="473">
        <f>IFERROR(G12/'Income Statement_P&amp;L'!H25,"")</f>
        <v>0.10623624358033748</v>
      </c>
      <c r="H18" s="473">
        <f>IFERROR(H12/'Income Statement_P&amp;L'!I25,"")</f>
        <v>2.9347028613352907E-2</v>
      </c>
      <c r="I18" s="473">
        <f>IFERROR(I12/'Income Statement_P&amp;L'!J25,"")</f>
        <v>-0.13088774761555391</v>
      </c>
      <c r="J18" s="473">
        <f>IFERROR(J12/'Income Statement_P&amp;L'!K25,"")</f>
        <v>-8.1844380403458206E-2</v>
      </c>
      <c r="K18" s="473">
        <f>IFERROR(K12/'Income Statement_P&amp;L'!L25,"")</f>
        <v>6.6293584699047878E-2</v>
      </c>
      <c r="L18" s="473">
        <f>IFERROR(L12/'Income Statement_P&amp;L'!M25,"")</f>
        <v>0.18654832539743862</v>
      </c>
      <c r="M18" s="473">
        <f>IFERROR(M12/'Income Statement_P&amp;L'!N25,"")</f>
        <v>0.31971177585263333</v>
      </c>
      <c r="N18" s="473">
        <f>IFERROR(N12/'Income Statement_P&amp;L'!O25,"")</f>
        <v>0.51599455380008641</v>
      </c>
      <c r="O18" s="473">
        <f>IFERROR(O12/'Income Statement_P&amp;L'!P25,"")</f>
        <v>0.77434809598653376</v>
      </c>
    </row>
    <row r="19" spans="2:16" ht="17" thickBot="1" x14ac:dyDescent="0.25">
      <c r="B19" s="64"/>
      <c r="C19" s="277"/>
      <c r="D19" s="450"/>
      <c r="E19" s="278"/>
      <c r="F19" s="278"/>
      <c r="G19" s="579"/>
      <c r="H19" s="579"/>
      <c r="I19" s="580"/>
      <c r="J19" s="580"/>
      <c r="K19" s="474"/>
      <c r="L19" s="474"/>
      <c r="M19" s="474"/>
      <c r="N19" s="474"/>
      <c r="O19" s="581"/>
      <c r="P19" s="404"/>
    </row>
    <row r="20" spans="2:16" x14ac:dyDescent="0.2">
      <c r="C20" s="49" t="s">
        <v>177</v>
      </c>
      <c r="D20" s="50"/>
      <c r="E20" s="51"/>
      <c r="F20" s="51"/>
      <c r="G20" s="475">
        <f>IFERROR((('Income Statement_P&amp;L'!H9-G6-G8)-('Income Statement_P&amp;L'!H15)-('Income Statement_P&amp;L'!H18)-G9-G7-G10),)</f>
        <v>0.72400000000000009</v>
      </c>
      <c r="H20" s="475">
        <f>IFERROR((('Income Statement_P&amp;L'!I9-H6-H8)-('Income Statement_P&amp;L'!I15)-('Income Statement_P&amp;L'!I18)-H9-H7-H10),)</f>
        <v>0.20000000000000012</v>
      </c>
      <c r="I20" s="475">
        <f>IFERROR((('Income Statement_P&amp;L'!J9-I6-I8)-('Income Statement_P&amp;L'!J15)-('Income Statement_P&amp;L'!J18)-I9-I7-I10),)</f>
        <v>-0.89200000000000013</v>
      </c>
      <c r="J20" s="475">
        <f>IFERROR((('Income Statement_P&amp;L'!K9-J6-J8)-('Income Statement_P&amp;L'!K15)-('Income Statement_P&amp;L'!K18)-J9-J7-J10),)</f>
        <v>-0.56799999999999995</v>
      </c>
      <c r="K20" s="475">
        <f>IFERROR((('Income Statement_P&amp;L'!L9-K6-K8)-('Income Statement_P&amp;L'!L15)-('Income Statement_P&amp;L'!L18)-K9-K7-K10),)</f>
        <v>0.47466206644518294</v>
      </c>
      <c r="L20" s="475">
        <f>IFERROR((('Income Statement_P&amp;L'!M9-L6-L8)-('Income Statement_P&amp;L'!M15)-('Income Statement_P&amp;L'!M18)-L9-L7-L10),)</f>
        <v>1.3767266414330968</v>
      </c>
      <c r="M20" s="475">
        <f>IFERROR((('Income Statement_P&amp;L'!N9-M6-M8)-('Income Statement_P&amp;L'!N15)-('Income Statement_P&amp;L'!N18)-M9-M7-M10),)</f>
        <v>2.3594729057924337</v>
      </c>
      <c r="N20" s="475">
        <f>IFERROR((('Income Statement_P&amp;L'!O9-N6-N8)-('Income Statement_P&amp;L'!O15)-('Income Statement_P&amp;L'!O18)-N9-N7-N10),)</f>
        <v>3.8080398070446377</v>
      </c>
      <c r="O20" s="475">
        <f>IFERROR((('Income Statement_P&amp;L'!P9-O6-O8)-('Income Statement_P&amp;L'!P15)-('Income Statement_P&amp;L'!P18)-O9-O7-O10),)</f>
        <v>5.7146889483806191</v>
      </c>
    </row>
    <row r="21" spans="2:16" ht="18" thickBot="1" x14ac:dyDescent="0.25">
      <c r="C21" s="453" t="s">
        <v>178</v>
      </c>
      <c r="D21" s="246" t="str">
        <f>IFERROR(D20/'Income Statement_P&amp;L'!E25,"")</f>
        <v/>
      </c>
      <c r="E21" s="73" t="str">
        <f>IFERROR(E20/'Income Statement_P&amp;L'!F25,"")</f>
        <v/>
      </c>
      <c r="F21" s="73" t="str">
        <f>IFERROR(F20/'Income Statement_P&amp;L'!G25,"")</f>
        <v/>
      </c>
      <c r="G21" s="476">
        <f>IFERROR(G20/'Income Statement_P&amp;L'!H25,"")</f>
        <v>0.10623624358033749</v>
      </c>
      <c r="H21" s="476">
        <f>IFERROR(H20/'Income Statement_P&amp;L'!I25,"")</f>
        <v>2.9347028613352914E-2</v>
      </c>
      <c r="I21" s="476">
        <f>IFERROR(I20/'Income Statement_P&amp;L'!J25,"")</f>
        <v>-0.13088774761555394</v>
      </c>
      <c r="J21" s="476">
        <f>IFERROR(J20/'Income Statement_P&amp;L'!K25,"")</f>
        <v>-8.1844380403458206E-2</v>
      </c>
      <c r="K21" s="476">
        <f>IFERROR(K20/'Income Statement_P&amp;L'!L25,"")</f>
        <v>6.6293584699047892E-2</v>
      </c>
      <c r="L21" s="476">
        <f>IFERROR(L20/'Income Statement_P&amp;L'!M25,"")</f>
        <v>0.1865483253974386</v>
      </c>
      <c r="M21" s="476">
        <f>IFERROR(M20/'Income Statement_P&amp;L'!N25,"")</f>
        <v>0.31971177585263333</v>
      </c>
      <c r="N21" s="476">
        <f>IFERROR(N20/'Income Statement_P&amp;L'!O25,"")</f>
        <v>0.51599455380008641</v>
      </c>
      <c r="O21" s="476">
        <f>IFERROR(O20/'Income Statement_P&amp;L'!P25,"")</f>
        <v>0.77434809598653376</v>
      </c>
      <c r="P21" s="404"/>
    </row>
    <row r="22" spans="2:16" ht="17" thickBot="1" x14ac:dyDescent="0.25">
      <c r="B22" s="64"/>
      <c r="C22" s="277"/>
      <c r="D22" s="450"/>
      <c r="E22" s="278"/>
      <c r="F22" s="278"/>
      <c r="G22" s="579"/>
      <c r="H22" s="579"/>
      <c r="I22" s="580"/>
      <c r="J22" s="580"/>
      <c r="K22" s="474"/>
      <c r="L22" s="474"/>
      <c r="M22" s="474"/>
      <c r="N22" s="474"/>
      <c r="O22" s="581"/>
      <c r="P22" s="404"/>
    </row>
    <row r="23" spans="2:16" ht="17" thickBot="1" x14ac:dyDescent="0.25">
      <c r="C23" s="49" t="s">
        <v>163</v>
      </c>
      <c r="D23" s="281"/>
      <c r="E23" s="282"/>
      <c r="F23" s="570"/>
      <c r="G23" s="414">
        <f t="shared" ref="G23:I23" si="4">G6/G12</f>
        <v>0.11878453038674032</v>
      </c>
      <c r="H23" s="414">
        <f t="shared" si="4"/>
        <v>0.37499999999999989</v>
      </c>
      <c r="I23" s="414">
        <f t="shared" si="4"/>
        <v>-0.18497757847533633</v>
      </c>
      <c r="J23" s="414">
        <f t="shared" ref="J23:O23" si="5">J6/J12</f>
        <v>-0.47183098591549305</v>
      </c>
      <c r="K23" s="414">
        <f t="shared" si="5"/>
        <v>0.85927976372797255</v>
      </c>
      <c r="L23" s="414">
        <f t="shared" si="5"/>
        <v>0.36318030388336742</v>
      </c>
      <c r="M23" s="414">
        <f t="shared" si="5"/>
        <v>0.25429408344847632</v>
      </c>
      <c r="N23" s="414">
        <f t="shared" si="5"/>
        <v>0.18382160782695689</v>
      </c>
      <c r="O23" s="414">
        <f t="shared" si="5"/>
        <v>0.12249135627904299</v>
      </c>
      <c r="P23" s="404"/>
    </row>
    <row r="24" spans="2:16" ht="17" thickBot="1" x14ac:dyDescent="0.25">
      <c r="C24" s="306" t="s">
        <v>164</v>
      </c>
      <c r="D24" s="283"/>
      <c r="E24" s="284"/>
      <c r="F24" s="571"/>
      <c r="G24" s="415">
        <f t="shared" ref="G24:I24" si="6">(G6+G8+G7+G9+G10)/G12</f>
        <v>0.26381215469613262</v>
      </c>
      <c r="H24" s="415">
        <f t="shared" si="6"/>
        <v>1.8049999999999993</v>
      </c>
      <c r="I24" s="415">
        <f t="shared" si="6"/>
        <v>-0.26345291479820632</v>
      </c>
      <c r="J24" s="415">
        <f t="shared" ref="J24:O24" si="7">(J6+J8+J7+J9+J10)/J12</f>
        <v>-0.80633802816901412</v>
      </c>
      <c r="K24" s="415">
        <f t="shared" si="7"/>
        <v>0.99714927805746056</v>
      </c>
      <c r="L24" s="415">
        <f t="shared" si="7"/>
        <v>0.41071437971363361</v>
      </c>
      <c r="M24" s="415">
        <f t="shared" si="7"/>
        <v>0.28202969694536023</v>
      </c>
      <c r="N24" s="415">
        <f t="shared" si="7"/>
        <v>0.20100667728194682</v>
      </c>
      <c r="O24" s="415">
        <f t="shared" si="7"/>
        <v>0.13394279819697499</v>
      </c>
      <c r="P24" s="404"/>
    </row>
    <row r="25" spans="2:16" ht="17" thickBot="1" x14ac:dyDescent="0.25">
      <c r="B25" s="64"/>
      <c r="C25" s="452"/>
      <c r="D25" s="450"/>
      <c r="E25" s="278"/>
      <c r="F25" s="278"/>
      <c r="G25" s="579"/>
      <c r="H25" s="579"/>
      <c r="I25" s="580"/>
      <c r="J25" s="580"/>
      <c r="K25" s="474"/>
      <c r="L25" s="474"/>
      <c r="M25" s="474"/>
      <c r="N25" s="474"/>
      <c r="O25" s="581"/>
      <c r="P25" s="404"/>
    </row>
    <row r="26" spans="2:16" ht="17" thickBot="1" x14ac:dyDescent="0.25">
      <c r="B26" s="67"/>
      <c r="C26" s="306" t="s">
        <v>160</v>
      </c>
      <c r="D26" s="285"/>
      <c r="E26" s="286"/>
      <c r="F26" s="572"/>
      <c r="G26" s="414">
        <f>(G6)/'Income Statement_P&amp;L'!H5</f>
        <v>7.7199281867145406E-2</v>
      </c>
      <c r="H26" s="414">
        <f>(H6)/'Income Statement_P&amp;L'!I5</f>
        <v>3.6638983878847092E-2</v>
      </c>
      <c r="I26" s="414">
        <f>(I6)/'Income Statement_P&amp;L'!J5</f>
        <v>0.12304250559284118</v>
      </c>
      <c r="J26" s="414">
        <f>(J6)/'Income Statement_P&amp;L'!K5</f>
        <v>8.9036544850498348E-2</v>
      </c>
      <c r="K26" s="414">
        <f>(K6)/'Income Statement_P&amp;L'!L5</f>
        <v>6.2748847431638138E-2</v>
      </c>
      <c r="L26" s="414">
        <f>(L6)/'Income Statement_P&amp;L'!M5</f>
        <v>4.8076923076923073E-2</v>
      </c>
      <c r="M26" s="414">
        <f>(M6)/'Income Statement_P&amp;L'!N5</f>
        <v>4.4378698224852069E-2</v>
      </c>
      <c r="N26" s="414">
        <f>(N6)/'Income Statement_P&amp;L'!O5</f>
        <v>3.9827036868456983E-2</v>
      </c>
      <c r="O26" s="414">
        <f>(O6)/'Income Statement_P&amp;L'!P5</f>
        <v>3.1861629494765592E-2</v>
      </c>
      <c r="P26" s="404"/>
    </row>
    <row r="27" spans="2:16" ht="17" thickBot="1" x14ac:dyDescent="0.25">
      <c r="B27" s="67"/>
      <c r="C27" s="306" t="s">
        <v>161</v>
      </c>
      <c r="D27" s="287"/>
      <c r="E27" s="288"/>
      <c r="F27" s="573"/>
      <c r="G27" s="582">
        <f>(G6+G7+G8+G9+G10)/'Income Statement_P&amp;L'!H5</f>
        <v>0.17145421903052063</v>
      </c>
      <c r="H27" s="582">
        <f>(H6+H7+H8+H9+H10)/'Income Statement_P&amp;L'!I5</f>
        <v>0.17635564240351731</v>
      </c>
      <c r="I27" s="582">
        <f>(I6+I7+I8+I9+I10)/'Income Statement_P&amp;L'!J5</f>
        <v>0.17524235645041017</v>
      </c>
      <c r="J27" s="582">
        <f>(J6+J7+J8+J9+J10)/'Income Statement_P&amp;L'!K5</f>
        <v>0.1521594684385382</v>
      </c>
      <c r="K27" s="582">
        <f>(K6+K7+K8+K9+K10)/'Income Statement_P&amp;L'!L5</f>
        <v>7.2816759519550217E-2</v>
      </c>
      <c r="L27" s="582">
        <f>(L6+L7+L8+L9+L10)/'Income Statement_P&amp;L'!M5</f>
        <v>5.4369368131868129E-2</v>
      </c>
      <c r="M27" s="582">
        <f>(M6+M7+M8+M9+M10)/'Income Statement_P&amp;L'!N5</f>
        <v>4.9219040574809803E-2</v>
      </c>
      <c r="N27" s="582">
        <f>(N6+N7+N8+N9+N10)/'Income Statement_P&amp;L'!O5</f>
        <v>4.3550377137655236E-2</v>
      </c>
      <c r="O27" s="582">
        <f>(O6+O7+O8+O9+O10)/'Income Statement_P&amp;L'!P5</f>
        <v>3.4840301710124193E-2</v>
      </c>
      <c r="P27" s="404"/>
    </row>
    <row r="28" spans="2:16" x14ac:dyDescent="0.2">
      <c r="B28" s="67"/>
      <c r="C28" s="279"/>
      <c r="D28" s="280"/>
      <c r="E28" s="280"/>
      <c r="F28" s="280"/>
      <c r="G28" s="280"/>
      <c r="H28" s="280"/>
      <c r="I28" s="416"/>
      <c r="J28" s="416"/>
      <c r="K28" s="416"/>
      <c r="L28" s="416"/>
      <c r="M28" s="416"/>
      <c r="N28" s="416"/>
      <c r="O28" s="416"/>
      <c r="P28" s="404"/>
    </row>
    <row r="29" spans="2:16" x14ac:dyDescent="0.2">
      <c r="B29" s="64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</row>
    <row r="30" spans="2:16" x14ac:dyDescent="0.2">
      <c r="B30" s="64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</row>
    <row r="31" spans="2:16" x14ac:dyDescent="0.2">
      <c r="B31" s="64"/>
      <c r="C31" s="66"/>
      <c r="D31" s="66"/>
      <c r="E31" s="66"/>
      <c r="F31" s="66"/>
      <c r="G31" s="66"/>
      <c r="H31" s="66"/>
      <c r="I31" s="66"/>
      <c r="J31" s="312"/>
      <c r="K31" s="312"/>
      <c r="L31" s="312"/>
      <c r="M31" s="312"/>
      <c r="N31" s="312"/>
      <c r="O31" s="312"/>
    </row>
    <row r="32" spans="2:16" x14ac:dyDescent="0.2">
      <c r="B32" s="64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</row>
    <row r="33" spans="2:14" x14ac:dyDescent="0.2">
      <c r="B33" s="64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</row>
    <row r="34" spans="2:14" x14ac:dyDescent="0.2">
      <c r="B34" s="64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</row>
    <row r="35" spans="2:14" x14ac:dyDescent="0.2">
      <c r="B35" s="5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</row>
    <row r="36" spans="2:14" x14ac:dyDescent="0.2">
      <c r="B36" s="5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</row>
    <row r="37" spans="2:14" x14ac:dyDescent="0.2">
      <c r="B37" s="5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</row>
    <row r="38" spans="2:14" x14ac:dyDescent="0.2">
      <c r="B38" s="5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</row>
    <row r="39" spans="2:14" x14ac:dyDescent="0.2">
      <c r="B39" s="5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</row>
    <row r="40" spans="2:14" x14ac:dyDescent="0.2">
      <c r="B40" s="5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</row>
  </sheetData>
  <sheetProtection selectLockedCells="1"/>
  <mergeCells count="1">
    <mergeCell ref="D3:K3"/>
  </mergeCells>
  <dataValidations count="2">
    <dataValidation type="decimal" allowBlank="1" showInputMessage="1" showErrorMessage="1" error="El valor de la celda debe ser numérico" sqref="D6:O6 K7:O7" xr:uid="{00000000-0002-0000-0200-000001000000}">
      <formula1>0</formula1>
      <formula2>100000</formula2>
    </dataValidation>
    <dataValidation type="decimal" allowBlank="1" showInputMessage="1" showErrorMessage="1" error="El valor de la celda debe ser numérico" sqref="D9:O11 P10:T10" xr:uid="{00000000-0002-0000-0200-000000000000}">
      <formula1>-10000</formula1>
      <formula2>100000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86"/>
  <sheetViews>
    <sheetView showGridLines="0" topLeftCell="A3" zoomScaleNormal="100" workbookViewId="0">
      <selection activeCell="G21" sqref="G21"/>
    </sheetView>
  </sheetViews>
  <sheetFormatPr baseColWidth="10" defaultColWidth="9.1640625" defaultRowHeight="15" outlineLevelRow="1" x14ac:dyDescent="0.2"/>
  <cols>
    <col min="1" max="1" width="4" customWidth="1"/>
    <col min="2" max="2" width="12.33203125" customWidth="1"/>
    <col min="3" max="3" width="34" customWidth="1"/>
    <col min="4" max="4" width="9.5" customWidth="1"/>
    <col min="5" max="5" width="16.5" customWidth="1"/>
    <col min="7" max="7" width="10.6640625" bestFit="1" customWidth="1"/>
    <col min="8" max="8" width="13.1640625" customWidth="1"/>
    <col min="9" max="9" width="12" bestFit="1" customWidth="1"/>
    <col min="10" max="10" width="10.6640625" customWidth="1"/>
    <col min="11" max="11" width="14.5" customWidth="1"/>
    <col min="12" max="12" width="10.83203125" customWidth="1"/>
    <col min="13" max="13" width="13.83203125" customWidth="1"/>
    <col min="14" max="14" width="12" bestFit="1" customWidth="1"/>
    <col min="15" max="15" width="11" customWidth="1"/>
    <col min="16" max="16" width="13.6640625" customWidth="1"/>
  </cols>
  <sheetData>
    <row r="1" spans="1:22" s="313" customFormat="1" x14ac:dyDescent="0.2"/>
    <row r="2" spans="1:22" s="48" customFormat="1" ht="16" thickBot="1" x14ac:dyDescent="0.25"/>
    <row r="3" spans="1:22" s="48" customFormat="1" ht="97" customHeight="1" thickBot="1" x14ac:dyDescent="0.25">
      <c r="C3" s="314"/>
      <c r="D3" s="658" t="s">
        <v>185</v>
      </c>
      <c r="E3" s="659"/>
      <c r="F3" s="659"/>
      <c r="G3" s="659"/>
      <c r="H3" s="659"/>
      <c r="I3" s="659"/>
      <c r="J3" s="659"/>
      <c r="K3" s="684"/>
    </row>
    <row r="4" spans="1:22" s="313" customFormat="1" ht="16" customHeight="1" x14ac:dyDescent="0.2">
      <c r="A4" s="1"/>
    </row>
    <row r="5" spans="1:22" s="313" customFormat="1" ht="21" x14ac:dyDescent="0.25">
      <c r="B5" s="701" t="s">
        <v>172</v>
      </c>
      <c r="C5" s="701"/>
      <c r="D5" s="701"/>
      <c r="E5" s="701"/>
      <c r="F5" s="701"/>
      <c r="G5" s="701"/>
      <c r="H5" s="701"/>
      <c r="I5" s="701"/>
      <c r="J5" s="701"/>
      <c r="K5" s="701"/>
      <c r="L5" s="701"/>
      <c r="M5" s="701"/>
      <c r="N5" s="701"/>
      <c r="O5" s="701"/>
      <c r="P5" s="701"/>
    </row>
    <row r="6" spans="1:22" ht="16" thickBot="1" x14ac:dyDescent="0.25">
      <c r="A6" s="1"/>
    </row>
    <row r="7" spans="1:22" ht="28.5" customHeight="1" thickBot="1" x14ac:dyDescent="0.25">
      <c r="A7" s="1"/>
      <c r="B7" s="6"/>
      <c r="C7" s="40"/>
      <c r="D7" s="40"/>
      <c r="E7" s="702" t="s">
        <v>173</v>
      </c>
      <c r="F7" s="703"/>
      <c r="G7" s="704"/>
      <c r="H7" s="487">
        <v>3.2</v>
      </c>
      <c r="I7" s="40"/>
      <c r="J7" s="40"/>
      <c r="K7" s="40"/>
      <c r="L7" s="40"/>
      <c r="M7" s="40"/>
      <c r="N7" s="40"/>
      <c r="O7" s="656">
        <f>(O13-H7)/H7</f>
        <v>3.2058169738098972</v>
      </c>
      <c r="P7" s="2"/>
      <c r="Q7" s="1"/>
      <c r="R7" s="1"/>
      <c r="S7" s="1"/>
      <c r="T7" s="1"/>
      <c r="U7" s="1"/>
      <c r="V7" s="1"/>
    </row>
    <row r="8" spans="1:22" ht="15" customHeight="1" thickBot="1" x14ac:dyDescent="0.25">
      <c r="A8" s="1"/>
      <c r="B8" s="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1"/>
      <c r="P8" s="1"/>
      <c r="Q8" s="1"/>
      <c r="R8" s="1"/>
      <c r="S8" s="1"/>
      <c r="T8" s="1"/>
      <c r="U8" s="1"/>
      <c r="V8" s="1"/>
    </row>
    <row r="9" spans="1:22" ht="15" customHeight="1" thickBot="1" x14ac:dyDescent="0.25">
      <c r="A9" s="1"/>
      <c r="B9" s="6"/>
      <c r="C9" s="101" t="s">
        <v>59</v>
      </c>
      <c r="D9" s="396">
        <f>'Income Statement_P&amp;L'!E3</f>
        <v>2015</v>
      </c>
      <c r="E9" s="375">
        <f>'Income Statement_P&amp;L'!F3</f>
        <v>2016</v>
      </c>
      <c r="F9" s="375">
        <f>'Income Statement_P&amp;L'!G3</f>
        <v>2017</v>
      </c>
      <c r="G9" s="375">
        <f>'Income Statement_P&amp;L'!H3</f>
        <v>2018</v>
      </c>
      <c r="H9" s="375">
        <f>'Income Statement_P&amp;L'!I3</f>
        <v>2019</v>
      </c>
      <c r="I9" s="375">
        <f>'Income Statement_P&amp;L'!J3</f>
        <v>2020</v>
      </c>
      <c r="J9" s="376">
        <f>'Income Statement_P&amp;L'!K3</f>
        <v>2021</v>
      </c>
      <c r="K9" s="365">
        <f t="shared" ref="K9:O9" si="0">J9+1</f>
        <v>2022</v>
      </c>
      <c r="L9" s="363">
        <f t="shared" si="0"/>
        <v>2023</v>
      </c>
      <c r="M9" s="363">
        <f t="shared" si="0"/>
        <v>2024</v>
      </c>
      <c r="N9" s="363">
        <f t="shared" si="0"/>
        <v>2025</v>
      </c>
      <c r="O9" s="366">
        <f t="shared" si="0"/>
        <v>2026</v>
      </c>
      <c r="P9" s="1"/>
      <c r="Q9" s="1"/>
      <c r="R9" s="1"/>
      <c r="S9" s="1"/>
      <c r="T9" s="1"/>
      <c r="U9" s="1"/>
      <c r="V9" s="1"/>
    </row>
    <row r="10" spans="1:22" ht="16" x14ac:dyDescent="0.2">
      <c r="A10" s="1"/>
      <c r="C10" s="385" t="s">
        <v>135</v>
      </c>
      <c r="D10" s="386" t="str">
        <f>IFERROR((Balance!D13-Balance!D6)/' Cash Flow'!D12,"")</f>
        <v/>
      </c>
      <c r="E10" s="136" t="str">
        <f>IFERROR((Balance!E13-Balance!E6)/' Cash Flow'!E12,"")</f>
        <v/>
      </c>
      <c r="F10" s="136" t="str">
        <f>IFERROR((Balance!F13-Balance!F6)/' Cash Flow'!F12,"")</f>
        <v/>
      </c>
      <c r="G10" s="564">
        <f>IFERROR((Balance!G13-Balance!G6)/' Cash Flow'!G12,"")</f>
        <v>0.31353591160220995</v>
      </c>
      <c r="H10" s="564">
        <f>IFERROR((Balance!H13-Balance!H6)/' Cash Flow'!H12,"")</f>
        <v>1.5499999999999994</v>
      </c>
      <c r="I10" s="564">
        <f>IFERROR((Balance!I13-Balance!I6)/' Cash Flow'!I12,"")</f>
        <v>-0.40358744394618834</v>
      </c>
      <c r="J10" s="564">
        <f>IFERROR((Balance!J13-Balance!J6)/' Cash Flow'!J12,"")</f>
        <v>1.4665492957746482</v>
      </c>
      <c r="K10" s="565">
        <f>IFERROR((Balance!K13-Balance!K6)/' Cash Flow'!K12,"")</f>
        <v>-2.6708210566619441</v>
      </c>
      <c r="L10" s="566">
        <f>IFERROR((Balance!L13-Balance!L6)/' Cash Flow'!L12,"")</f>
        <v>-1.4014122719596065</v>
      </c>
      <c r="M10" s="566">
        <f>IFERROR((Balance!M13-Balance!M6)/' Cash Flow'!M12,"")</f>
        <v>-1.2444657656473488</v>
      </c>
      <c r="N10" s="566">
        <f>IFERROR((Balance!N13-Balance!N6)/' Cash Flow'!N12,"")</f>
        <v>-1.1734937604152655</v>
      </c>
      <c r="O10" s="566">
        <f>IFERROR((Balance!O13-Balance!O6)/' Cash Flow'!O12,"")</f>
        <v>-1.1900740447924454</v>
      </c>
      <c r="P10" s="39"/>
      <c r="Q10" s="39"/>
      <c r="R10" s="5"/>
      <c r="S10" s="1"/>
      <c r="T10" s="1"/>
      <c r="U10" s="1"/>
      <c r="V10" s="1"/>
    </row>
    <row r="11" spans="1:22" s="276" customFormat="1" ht="17" thickBot="1" x14ac:dyDescent="0.25">
      <c r="A11" s="1"/>
      <c r="C11" s="385" t="s">
        <v>165</v>
      </c>
      <c r="D11" s="387"/>
      <c r="E11" s="388"/>
      <c r="F11" s="388"/>
      <c r="G11" s="567">
        <f>IFERROR((Balance!G13-Balance!G6)/'Income Statement_P&amp;L'!H9,"")</f>
        <v>0.25363128491620107</v>
      </c>
      <c r="H11" s="567">
        <f>IFERROR((Balance!H13-Balance!H6)/'Income Statement_P&amp;L'!I9,"")</f>
        <v>0.53082191780821908</v>
      </c>
      <c r="I11" s="567">
        <f>IFERROR((Balance!I13-Balance!I6)/'Income Statement_P&amp;L'!J9,"")</f>
        <v>-0.42502951593860683</v>
      </c>
      <c r="J11" s="567">
        <f>IFERROR((Balance!J13-Balance!J6)/'Income Statement_P&amp;L'!K9,"")</f>
        <v>4.7329545454545459</v>
      </c>
      <c r="K11" s="568">
        <f>IFERROR((Balance!K13-Balance!K6)/'Income Statement_P&amp;L'!L9,"")</f>
        <v>-1.0577656826056825</v>
      </c>
      <c r="L11" s="569">
        <f>IFERROR((Balance!L13-Balance!L6)/'Income Statement_P&amp;L'!M9,"")</f>
        <v>-0.79149790756945504</v>
      </c>
      <c r="M11" s="569">
        <f>IFERROR((Balance!M13-Balance!M6)/'Income Statement_P&amp;L'!N9,"")</f>
        <v>-0.76368452079091709</v>
      </c>
      <c r="N11" s="569">
        <f>IFERROR((Balance!N13-Balance!N6)/'Income Statement_P&amp;L'!O9,"")</f>
        <v>-0.76035242750011256</v>
      </c>
      <c r="O11" s="569">
        <f>IFERROR((Balance!O13-Balance!O6)/'Income Statement_P&amp;L'!P9,"")</f>
        <v>-0.80532217872746747</v>
      </c>
      <c r="P11" s="39"/>
      <c r="Q11" s="39"/>
      <c r="R11" s="5"/>
      <c r="S11" s="1"/>
      <c r="T11" s="1"/>
      <c r="U11" s="1"/>
      <c r="V11" s="1"/>
    </row>
    <row r="12" spans="1:22" ht="18" thickBot="1" x14ac:dyDescent="0.25">
      <c r="A12" s="1"/>
      <c r="C12" s="233"/>
      <c r="D12" s="417" t="s">
        <v>14</v>
      </c>
      <c r="E12" s="418" t="s">
        <v>15</v>
      </c>
      <c r="F12" s="58"/>
      <c r="G12" s="58"/>
      <c r="H12" s="58"/>
      <c r="I12" s="58"/>
      <c r="J12" s="58"/>
      <c r="K12" s="652"/>
      <c r="L12" s="653"/>
      <c r="M12" s="653"/>
      <c r="N12" s="653"/>
      <c r="O12" s="654"/>
      <c r="P12" s="708" t="s">
        <v>17</v>
      </c>
      <c r="Q12" s="709"/>
      <c r="R12" s="434">
        <v>20</v>
      </c>
      <c r="S12" s="1"/>
      <c r="T12" s="1"/>
      <c r="U12" s="1"/>
      <c r="V12" s="1"/>
    </row>
    <row r="13" spans="1:22" ht="17" thickBot="1" x14ac:dyDescent="0.25">
      <c r="A13" s="1"/>
      <c r="C13" s="234" t="s">
        <v>7</v>
      </c>
      <c r="D13" s="419">
        <f>IFERROR((M13/$H$7)^(1/3)-1,"")</f>
        <v>0.1981181712260196</v>
      </c>
      <c r="E13" s="420">
        <f>IFERROR((O13/$H$7)^(1/5)-1,"")</f>
        <v>0.33281562015624955</v>
      </c>
      <c r="F13" s="58"/>
      <c r="G13" s="103" t="s">
        <v>3</v>
      </c>
      <c r="H13" s="103"/>
      <c r="I13" s="103"/>
      <c r="J13" s="494">
        <f>IFERROR(IF(--(Balance!J13-Balance!J6)&lt;0,('Income Statement_P&amp;L'!K22*$R$12-(Balance!J13-Balance!J6)),IF(--(Balance!J13-Balance!J6)&gt;0,'Income Statement_P&amp;L'!K22*$R$12))/'Income Statement_P&amp;L'!K25,"")</f>
        <v>-0.92896253602305456</v>
      </c>
      <c r="K13" s="493">
        <f>IFERROR(IF(--(Balance!K13-Balance!K6)&lt;0,('Income Statement_P&amp;L'!L22*$R$12-(Balance!K13-Balance!K6)),IF(--(Balance!K13-Balance!K6)&gt;0,'Income Statement_P&amp;L'!L22*$R$12))/'Income Statement_P&amp;L'!L25,"")</f>
        <v>1.2928851732585978</v>
      </c>
      <c r="L13" s="494">
        <f>IFERROR(IF(--(Balance!L13-Balance!L6)&lt;0,('Income Statement_P&amp;L'!M22*$R$12-(Balance!L13-Balance!L6)),IF(--(Balance!L13-Balance!L6)&gt;0,'Income Statement_P&amp;L'!M22*$R$12))/'Income Statement_P&amp;L'!M25,"")</f>
        <v>3.1464178241314422</v>
      </c>
      <c r="M13" s="494">
        <f>IFERROR(IF(--(Balance!M13-Balance!M6)&lt;0,('Income Statement_P&amp;L'!N22*$R$12-(Balance!M13-Balance!M6)),IF(--(Balance!M13-Balance!M6)&gt;0,'Income Statement_P&amp;L'!N22*$R$12))/'Income Statement_P&amp;L'!N25,"")</f>
        <v>5.503626373243673</v>
      </c>
      <c r="N13" s="494">
        <f>IFERROR(IF(--(Balance!N13-Balance!N6)&lt;0,('Income Statement_P&amp;L'!O22*$R$12-(Balance!N13-Balance!N6)),IF(--(Balance!N13-Balance!N6)&gt;0,'Income Statement_P&amp;L'!O22*$R$12))/'Income Statement_P&amp;L'!O25,"")</f>
        <v>8.9803775289485142</v>
      </c>
      <c r="O13" s="495">
        <f>IFERROR(IF(--(Balance!O13-Balance!O6)&lt;0,('Income Statement_P&amp;L'!P22*$R$12-(Balance!O13-Balance!O6)),IF(--(Balance!O13-Balance!O6)&gt;0,'Income Statement_P&amp;L'!P22*$R$12))/'Income Statement_P&amp;L'!P25,"")</f>
        <v>13.458614316191673</v>
      </c>
      <c r="P13" s="708" t="s">
        <v>156</v>
      </c>
      <c r="Q13" s="709"/>
      <c r="R13" s="434">
        <v>20</v>
      </c>
      <c r="S13" s="1"/>
      <c r="T13" s="1"/>
      <c r="U13" s="1"/>
      <c r="V13" s="1"/>
    </row>
    <row r="14" spans="1:22" ht="17" thickBot="1" x14ac:dyDescent="0.25">
      <c r="A14" s="1"/>
      <c r="C14" s="234" t="s">
        <v>8</v>
      </c>
      <c r="D14" s="419">
        <f>IFERROR((M14/$H$7)^(1/3)-1,"")</f>
        <v>0.28514310236504081</v>
      </c>
      <c r="E14" s="420">
        <f>IFERROR((O14/$H$7)^(1/5)-1,"")</f>
        <v>0.38670392931163922</v>
      </c>
      <c r="F14" s="58"/>
      <c r="G14" s="104" t="s">
        <v>4</v>
      </c>
      <c r="H14" s="58"/>
      <c r="I14" s="58"/>
      <c r="J14" s="494">
        <f>IFERROR(IF(--(Balance!J13-Balance!J6)&lt;0,(' Cash Flow'!J12*$R$13-(Balance!J13-Balance!J6)),IF(--(Balance!J13-Balance!J6)&gt;0,' Cash Flow'!J12*$R$13))/'Income Statement_P&amp;L'!K25,"")</f>
        <v>-1.51685878962536</v>
      </c>
      <c r="K14" s="493">
        <f>IFERROR(IF(--(Balance!K13-Balance!K6)&lt;0,(' Cash Flow'!K12*$R$13-(Balance!K13-Balance!K6)),IF(--(Balance!K13-Balance!K6)&gt;0,' Cash Flow'!K12*$R$13))/'Income Statement_P&amp;L'!L25,"")</f>
        <v>1.5029299959167768</v>
      </c>
      <c r="L14" s="494">
        <f>IFERROR(IF(--(Balance!L13-Balance!L6)&lt;0,(' Cash Flow'!L12*$R$13-(Balance!L13-Balance!L6)),IF(--(Balance!L13-Balance!L6)&gt;0,' Cash Flow'!L12*$R$13))/'Income Statement_P&amp;L'!M25,"")</f>
        <v>3.9923976204742564</v>
      </c>
      <c r="M14" s="494">
        <f>IFERROR(IF(--(Balance!M13-Balance!M6)&lt;0,(' Cash Flow'!M12*$R$13-(Balance!M13-Balance!M6)),IF(--(Balance!M13-Balance!M6)&gt;0,' Cash Flow'!M12*$R$13))/'Income Statement_P&amp;L'!N25,"")</f>
        <v>6.7921058769755867</v>
      </c>
      <c r="N14" s="494">
        <f>IFERROR(IF(--(Balance!N13-Balance!N6)&lt;0,(' Cash Flow'!N12*$R$13-(Balance!N13-Balance!N6)),IF(--(Balance!N13-Balance!N6)&gt;0,' Cash Flow'!N12*$R$13))/'Income Statement_P&amp;L'!O25,"")</f>
        <v>10.92540746529439</v>
      </c>
      <c r="O14" s="495">
        <f>IFERROR(IF(--(Balance!O13-Balance!O6)&lt;0,(' Cash Flow'!O12*$R$13-(Balance!O13-Balance!O6)),IF(--(Balance!O13-Balance!O6)&gt;0,' Cash Flow'!O12*$R$13))/'Income Statement_P&amp;L'!P25,"")</f>
        <v>16.408493490398698</v>
      </c>
      <c r="P14" s="708" t="s">
        <v>157</v>
      </c>
      <c r="Q14" s="709"/>
      <c r="R14" s="434">
        <v>10</v>
      </c>
      <c r="S14" s="1"/>
      <c r="T14" s="1"/>
      <c r="U14" s="1"/>
      <c r="V14" s="1"/>
    </row>
    <row r="15" spans="1:22" ht="17" thickBot="1" x14ac:dyDescent="0.25">
      <c r="A15" s="1"/>
      <c r="C15" s="234" t="s">
        <v>9</v>
      </c>
      <c r="D15" s="419">
        <f>IFERROR((M15/$H$7)^(1/3)-1,"")</f>
        <v>0.20562670807585426</v>
      </c>
      <c r="E15" s="420">
        <f>IFERROR((O15/$H$7)^(1/5)-1,"")</f>
        <v>0.31040535795335433</v>
      </c>
      <c r="F15" s="58"/>
      <c r="G15" s="104" t="s">
        <v>5</v>
      </c>
      <c r="H15" s="58"/>
      <c r="I15" s="58"/>
      <c r="J15" s="494">
        <f>IFERROR((('Income Statement_P&amp;L'!K9*$R$14)-(Balance!J13-Balance!J6))/'Income Statement_P&amp;L'!K25,"")</f>
        <v>-0.13357348703170024</v>
      </c>
      <c r="K15" s="493">
        <f>IFERROR((('Income Statement_P&amp;L'!L9*$R$14)-(Balance!K13-Balance!K6))/'Income Statement_P&amp;L'!L25,"")</f>
        <v>1.850947943540155</v>
      </c>
      <c r="L15" s="494">
        <f>IFERROR((('Income Statement_P&amp;L'!M9*$R$14)-(Balance!L13-Balance!L6))/'Income Statement_P&amp;L'!M25,"")</f>
        <v>3.5644229464305344</v>
      </c>
      <c r="M15" s="494">
        <f>IFERROR((('Income Statement_P&amp;L'!N9*$R$14)-(Balance!M13-Balance!M6))/'Income Statement_P&amp;L'!N25,"")</f>
        <v>5.6077489038910855</v>
      </c>
      <c r="N15" s="494">
        <f>IFERROR((('Income Statement_P&amp;L'!O9*$R$14)-(Balance!N13-Balance!N6))/'Income Statement_P&amp;L'!O25,"")</f>
        <v>8.569144404310352</v>
      </c>
      <c r="O15" s="495">
        <f>IFERROR((('Income Statement_P&amp;L'!P9*$R$14)-(Balance!O13-Balance!O6))/'Income Statement_P&amp;L'!P25,"")</f>
        <v>12.364548974263986</v>
      </c>
      <c r="P15" s="708" t="s">
        <v>158</v>
      </c>
      <c r="Q15" s="709"/>
      <c r="R15" s="434">
        <v>10</v>
      </c>
      <c r="S15" s="1"/>
      <c r="T15" s="1"/>
      <c r="U15" s="1"/>
      <c r="V15" s="1"/>
    </row>
    <row r="16" spans="1:22" ht="17" thickBot="1" x14ac:dyDescent="0.25">
      <c r="A16" s="1"/>
      <c r="C16" s="235" t="s">
        <v>10</v>
      </c>
      <c r="D16" s="421">
        <f>IFERROR((M16/$H$7)^(1/3)-1,"")</f>
        <v>8.2739085619136121E-2</v>
      </c>
      <c r="E16" s="422">
        <f>IFERROR((O16/$H$7)^(1/5)-1,"")</f>
        <v>0.25221424400740244</v>
      </c>
      <c r="F16" s="105"/>
      <c r="G16" s="106" t="s">
        <v>6</v>
      </c>
      <c r="H16" s="105"/>
      <c r="I16" s="105"/>
      <c r="J16" s="497">
        <f>IFERROR((('Income Statement_P&amp;L'!K12*$R$15)-(Balance!J13-Balance!J6))/'Income Statement_P&amp;L'!K25,"")</f>
        <v>-0.49956772334293942</v>
      </c>
      <c r="K16" s="496">
        <f>IFERROR((('Income Statement_P&amp;L'!L12*$R$15)-(Balance!K13-Balance!K6))/'Income Statement_P&amp;L'!L25,"")</f>
        <v>1.0848795309860984</v>
      </c>
      <c r="L16" s="497">
        <f>IFERROR((('Income Statement_P&amp;L'!M12*$R$15)-(Balance!L13-Balance!L6))/'Income Statement_P&amp;L'!M25,"")</f>
        <v>2.375252250736867</v>
      </c>
      <c r="M16" s="497">
        <f>IFERROR((('Income Statement_P&amp;L'!N12*$R$15)-(Balance!M13-Balance!M6))/'Income Statement_P&amp;L'!N25,"")</f>
        <v>4.061826999489317</v>
      </c>
      <c r="N16" s="497">
        <f>IFERROR((('Income Statement_P&amp;L'!O12*$R$15)-(Balance!N13-Balance!N6))/'Income Statement_P&amp;L'!O25,"")</f>
        <v>6.5594459285880529</v>
      </c>
      <c r="O16" s="498">
        <f>IFERROR((('Income Statement_P&amp;L'!P12*$R$15)-(Balance!O13-Balance!O6))/'Income Statement_P&amp;L'!P25,"")</f>
        <v>9.8524258796111113</v>
      </c>
      <c r="S16" s="1"/>
      <c r="T16" s="1"/>
      <c r="U16" s="1"/>
      <c r="V16" s="1"/>
    </row>
    <row r="17" spans="1:22" ht="17" thickBot="1" x14ac:dyDescent="0.25">
      <c r="A17" s="1"/>
      <c r="L17" s="102"/>
      <c r="M17" s="102"/>
      <c r="N17" s="102"/>
      <c r="O17" s="102"/>
      <c r="P17" s="711" t="s">
        <v>74</v>
      </c>
      <c r="Q17" s="712"/>
      <c r="R17" s="61">
        <v>3</v>
      </c>
      <c r="S17" s="1"/>
      <c r="T17" s="1"/>
      <c r="U17" s="1"/>
      <c r="V17" s="1"/>
    </row>
    <row r="18" spans="1:22" ht="17" thickBot="1" x14ac:dyDescent="0.25">
      <c r="A18" s="1"/>
      <c r="E18" s="98" t="s">
        <v>76</v>
      </c>
      <c r="F18" s="109" t="str">
        <f>IFERROR(#REF!/'Income Statement_P&amp;L'!K5,"")</f>
        <v/>
      </c>
      <c r="G18" s="98" t="s">
        <v>75</v>
      </c>
      <c r="H18" s="99"/>
      <c r="I18" s="99"/>
      <c r="J18" s="100"/>
      <c r="K18" s="108">
        <f>IFERROR('Income Statement_P&amp;L'!K5*$R$17/'Income Statement_P&amp;L'!K25,"")</f>
        <v>1.3011527377521612</v>
      </c>
      <c r="L18" s="48"/>
      <c r="M18" s="71" t="s">
        <v>65</v>
      </c>
      <c r="N18" s="48"/>
      <c r="O18" s="48"/>
      <c r="S18" s="1"/>
      <c r="T18" s="1"/>
      <c r="U18" s="1"/>
      <c r="V18" s="1"/>
    </row>
    <row r="19" spans="1:22" ht="16" x14ac:dyDescent="0.2">
      <c r="A19" s="1"/>
      <c r="I19" s="48"/>
      <c r="J19" s="48"/>
      <c r="K19" s="48"/>
      <c r="L19" s="48"/>
      <c r="M19" s="71" t="s">
        <v>73</v>
      </c>
      <c r="N19" s="48"/>
      <c r="O19" s="48"/>
      <c r="P19" s="48"/>
      <c r="R19" s="1"/>
      <c r="S19" s="1"/>
      <c r="T19" s="1"/>
      <c r="U19" s="1"/>
      <c r="V19" s="1"/>
    </row>
    <row r="20" spans="1:22" ht="16" x14ac:dyDescent="0.2">
      <c r="A20" s="1"/>
      <c r="B20" s="4"/>
      <c r="C20" s="3"/>
      <c r="D20" s="3"/>
      <c r="E20" s="3"/>
      <c r="F20" s="3"/>
      <c r="G20" s="3"/>
      <c r="H20" s="43"/>
      <c r="I20" s="57"/>
      <c r="J20" s="57"/>
      <c r="K20" s="57"/>
      <c r="L20" s="57"/>
      <c r="M20" s="60" t="b">
        <v>1</v>
      </c>
      <c r="N20" s="57"/>
      <c r="O20" s="59"/>
      <c r="P20" s="59"/>
      <c r="Q20" s="1"/>
      <c r="R20" s="1"/>
      <c r="S20" s="1"/>
      <c r="T20" s="1"/>
      <c r="U20" s="1"/>
      <c r="V20" s="1"/>
    </row>
    <row r="21" spans="1:22" ht="17" thickBot="1" x14ac:dyDescent="0.25">
      <c r="A21" s="1"/>
      <c r="B21" s="2"/>
      <c r="C21" s="3"/>
      <c r="D21" s="3"/>
      <c r="E21" s="3"/>
      <c r="F21" s="3"/>
      <c r="G21" s="3"/>
      <c r="H21" s="43"/>
      <c r="I21" s="57"/>
      <c r="J21" s="57"/>
      <c r="K21" s="57"/>
      <c r="L21" s="57"/>
      <c r="M21" s="57"/>
      <c r="N21" s="57"/>
      <c r="O21" s="59"/>
      <c r="P21" s="59"/>
      <c r="Q21" s="1"/>
      <c r="R21" s="1"/>
      <c r="S21" s="1"/>
      <c r="T21" s="1"/>
      <c r="U21" s="1"/>
      <c r="V21" s="1"/>
    </row>
    <row r="22" spans="1:22" ht="17" thickBot="1" x14ac:dyDescent="0.25">
      <c r="A22" s="1"/>
      <c r="B22" s="2"/>
      <c r="C22" s="2"/>
      <c r="D22" s="2"/>
      <c r="E22" s="2"/>
      <c r="F22" s="2"/>
      <c r="G22" s="2"/>
      <c r="H22" s="8"/>
      <c r="I22" s="425"/>
      <c r="J22" s="426">
        <f>J9</f>
        <v>2021</v>
      </c>
      <c r="K22" s="477">
        <f>K9</f>
        <v>2022</v>
      </c>
      <c r="L22" s="427">
        <f t="shared" ref="L22:O22" si="1">L9</f>
        <v>2023</v>
      </c>
      <c r="M22" s="427">
        <f t="shared" si="1"/>
        <v>2024</v>
      </c>
      <c r="N22" s="427">
        <f t="shared" si="1"/>
        <v>2025</v>
      </c>
      <c r="O22" s="428">
        <f t="shared" si="1"/>
        <v>2026</v>
      </c>
      <c r="P22" s="7"/>
      <c r="Q22" s="107" t="b">
        <v>0</v>
      </c>
      <c r="R22" s="1"/>
      <c r="S22" s="1"/>
      <c r="T22" s="1"/>
      <c r="U22" s="1"/>
      <c r="V22" s="1"/>
    </row>
    <row r="23" spans="1:22" ht="16" x14ac:dyDescent="0.2">
      <c r="A23" s="1"/>
      <c r="B23" s="2"/>
      <c r="C23" s="2"/>
      <c r="D23" s="2"/>
      <c r="E23" s="2"/>
      <c r="F23" s="2"/>
      <c r="G23" s="2"/>
      <c r="H23" s="8"/>
      <c r="I23" s="429" t="s">
        <v>17</v>
      </c>
      <c r="J23" s="423">
        <f>IFERROR(IF((Balance!J13-Balance!J6)&gt;0,($H$7*'Income Statement_P&amp;L'!K25)/'Income Statement_P&amp;L'!K22,(($H$7*'Income Statement_P&amp;L'!K25)+(Balance!J13-Balance!J6))/'Income Statement_P&amp;L'!K22),"")</f>
        <v>-58.722527472527482</v>
      </c>
      <c r="K23" s="265">
        <f>IFERROR(IF((Balance!K13-Balance!K6)&gt;0,($H$7*'Income Statement_P&amp;L'!L25)/'Income Statement_P&amp;L'!L22,(($H$7*'Income Statement_P&amp;L'!L25)+(Balance!K13-Balance!K6))/'Income Statement_P&amp;L'!L22),"")</f>
        <v>54.1829879841588</v>
      </c>
      <c r="L23" s="266">
        <f>IFERROR(IF((Balance!L13-Balance!L6)&gt;0,($H$7*'Income Statement_P&amp;L'!M25)/'Income Statement_P&amp;L'!M22,(($H$7*'Income Statement_P&amp;L'!M25)+(Balance!L13-Balance!L6))/'Income Statement_P&amp;L'!M22),"")</f>
        <v>20.371455269814607</v>
      </c>
      <c r="M23" s="266">
        <f>IFERROR(IF((Balance!M13-Balance!M6)&gt;0,($H$7*'Income Statement_P&amp;L'!N25)/'Income Statement_P&amp;L'!N22,(($H$7*'Income Statement_P&amp;L'!N25)+(Balance!M13-Balance!M6))/'Income Statement_P&amp;L'!N22),"")</f>
        <v>10.976355441844122</v>
      </c>
      <c r="N23" s="266">
        <f>IFERROR(IF((Balance!N13-Balance!N6)&gt;0,($H$7*'Income Statement_P&amp;L'!O25)/'Income Statement_P&amp;L'!O22,(($H$7*'Income Statement_P&amp;L'!O25)+(Balance!N13-Balance!N6))/'Income Statement_P&amp;L'!O22),"")</f>
        <v>6.1958844867819609</v>
      </c>
      <c r="O23" s="267">
        <f>IFERROR(IF((Balance!O13-Balance!O6)&gt;0,($H$7*'Income Statement_P&amp;L'!P25)/'Income Statement_P&amp;L'!P22,(($H$7*'Income Statement_P&amp;L'!P25)+(Balance!O13-Balance!O6))/'Income Statement_P&amp;L'!P22),"")</f>
        <v>3.6347665171875838</v>
      </c>
      <c r="P23" s="7"/>
      <c r="Q23" s="1"/>
      <c r="R23" s="1"/>
      <c r="S23" s="1"/>
      <c r="T23" s="1"/>
      <c r="U23" s="1"/>
      <c r="V23" s="1"/>
    </row>
    <row r="24" spans="1:22" ht="16" x14ac:dyDescent="0.2">
      <c r="A24" s="1"/>
      <c r="B24" s="1"/>
      <c r="C24" s="1"/>
      <c r="D24" s="1"/>
      <c r="E24" s="1"/>
      <c r="F24" s="1"/>
      <c r="G24" s="1"/>
      <c r="H24" s="7"/>
      <c r="I24" s="430" t="s">
        <v>20</v>
      </c>
      <c r="J24" s="424">
        <f>IFERROR(IF((Balance!J13-Balance!J6)&gt;0,($H$7*'Income Statement_P&amp;L'!K25)/' Cash Flow'!J12,(($H$7*'Income Statement_P&amp;L'!K25)+(Balance!J13-Balance!J6))/' Cash Flow'!J12),"")</f>
        <v>-37.632042253521135</v>
      </c>
      <c r="K24" s="268">
        <f>IFERROR(IF((Balance!K13-Balance!K6)&gt;0,($H$7*'Income Statement_P&amp;L'!L25)/' Cash Flow'!K12,(($H$7*'Income Statement_P&amp;L'!L25)+(Balance!K13-Balance!K6))/' Cash Flow'!K12),"")</f>
        <v>45.599309673588934</v>
      </c>
      <c r="L24" s="44">
        <f>IFERROR(IF((Balance!L13-Balance!L6)&gt;0,($H$7*'Income Statement_P&amp;L'!M25)/' Cash Flow'!L12,(($H$7*'Income Statement_P&amp;L'!M25)+(Balance!L13-Balance!L6))/' Cash Flow'!L12),"")</f>
        <v>15.752319841059604</v>
      </c>
      <c r="M24" s="44">
        <f>IFERROR(IF((Balance!M13-Balance!M6)&gt;0,($H$7*'Income Statement_P&amp;L'!N25)/' Cash Flow'!M12,(($H$7*'Income Statement_P&amp;L'!N25)+(Balance!M13-Balance!M6))/' Cash Flow'!M12),"")</f>
        <v>8.7645493588846772</v>
      </c>
      <c r="N24" s="44">
        <f>IFERROR(IF((Balance!N13-Balance!N6)&gt;0,($H$7*'Income Statement_P&amp;L'!O25)/' Cash Flow'!N12,(($H$7*'Income Statement_P&amp;L'!O25)+(Balance!N13-Balance!N6))/' Cash Flow'!N12),"")</f>
        <v>5.0281220830724687</v>
      </c>
      <c r="O24" s="269">
        <f>IFERROR(IF((Balance!O13-Balance!O6)&gt;0,($H$7*'Income Statement_P&amp;L'!P25)/' Cash Flow'!O12,(($H$7*'Income Statement_P&amp;L'!P25)+(Balance!O13-Balance!O6))/' Cash Flow'!O12),"")</f>
        <v>2.9424343407588109</v>
      </c>
      <c r="P24" s="7"/>
      <c r="Q24" s="1"/>
      <c r="R24" s="1"/>
      <c r="S24" s="1"/>
      <c r="T24" s="1"/>
      <c r="U24" s="1"/>
      <c r="V24" s="1"/>
    </row>
    <row r="25" spans="1:22" ht="16" x14ac:dyDescent="0.2">
      <c r="A25" s="1"/>
      <c r="B25" s="1"/>
      <c r="C25" s="1"/>
      <c r="D25" s="1"/>
      <c r="E25" s="1"/>
      <c r="F25" s="1"/>
      <c r="G25" s="1"/>
      <c r="H25" s="7"/>
      <c r="I25" s="430" t="s">
        <v>19</v>
      </c>
      <c r="J25" s="424">
        <f>IFERROR(($H$7*'Income Statement_P&amp;L'!K25+(Balance!J13-Balance!J6))/'Income Statement_P&amp;L'!K12,"")</f>
        <v>-49.709302325581405</v>
      </c>
      <c r="K25" s="268">
        <f>IFERROR(($H$7*'Income Statement_P&amp;L'!L25+(Balance!K13-Balance!K6))/'Income Statement_P&amp;L'!L12,"")</f>
        <v>33.298865474060825</v>
      </c>
      <c r="L25" s="44">
        <f>IFERROR(($H$7*'Income Statement_P&amp;L'!M25+(Balance!L13-Balance!L6))/'Income Statement_P&amp;L'!M12,"")</f>
        <v>13.901691275360207</v>
      </c>
      <c r="M25" s="44">
        <f>IFERROR(($H$7*'Income Statement_P&amp;L'!N25+(Balance!M13-Balance!M6))/'Income Statement_P&amp;L'!N12,"")</f>
        <v>7.6478242395594824</v>
      </c>
      <c r="N25" s="44">
        <f>IFERROR(($H$7*'Income Statement_P&amp;L'!O25+(Balance!N13-Balance!N6))/'Income Statement_P&amp;L'!O12,"")</f>
        <v>4.3575987817524275</v>
      </c>
      <c r="O25" s="269">
        <f>IFERROR(($H$7*'Income Statement_P&amp;L'!P25+(Balance!O13-Balance!O6))/'Income Statement_P&amp;L'!P12,"")</f>
        <v>2.5512209085829149</v>
      </c>
      <c r="P25" s="7"/>
      <c r="Q25" s="1"/>
      <c r="R25" s="1"/>
      <c r="S25" s="1"/>
      <c r="T25" s="1"/>
      <c r="U25" s="1"/>
      <c r="V25" s="1"/>
    </row>
    <row r="26" spans="1:22" ht="16" x14ac:dyDescent="0.2">
      <c r="A26" s="1"/>
      <c r="B26" s="1"/>
      <c r="C26" s="1"/>
      <c r="D26" s="1"/>
      <c r="E26" s="1"/>
      <c r="F26" s="1"/>
      <c r="G26" s="1"/>
      <c r="H26" s="7"/>
      <c r="I26" s="430" t="s">
        <v>18</v>
      </c>
      <c r="J26" s="424">
        <f>IFERROR(($H$7*'Income Statement_P&amp;L'!K25+(Balance!J13-Balance!J6))/'Income Statement_P&amp;L'!K9,"")</f>
        <v>-121.44886363636367</v>
      </c>
      <c r="K26" s="268">
        <f>IFERROR(($H$7*'Income Statement_P&amp;L'!L25+(Balance!K13-Balance!K6))/'Income Statement_P&amp;L'!L9,"")</f>
        <v>18.059384698544697</v>
      </c>
      <c r="L26" s="44">
        <f>IFERROR(($H$7*'Income Statement_P&amp;L'!M25+(Balance!L13-Balance!L6))/'Income Statement_P&amp;L'!M9,"")</f>
        <v>8.8966883215097567</v>
      </c>
      <c r="M26" s="44">
        <f>IFERROR(($H$7*'Income Statement_P&amp;L'!N25+(Balance!M13-Balance!M6))/'Income Statement_P&amp;L'!N9,"")</f>
        <v>5.378493215204216</v>
      </c>
      <c r="N26" s="44">
        <f>IFERROR(($H$7*'Income Statement_P&amp;L'!O25+(Balance!N13-Balance!N6))/'Income Statement_P&amp;L'!O9,"")</f>
        <v>3.2579166252048699</v>
      </c>
      <c r="O26" s="269">
        <f>IFERROR(($H$7*'Income Statement_P&amp;L'!P25+(Balance!O13-Balance!O6))/'Income Statement_P&amp;L'!P9,"")</f>
        <v>1.9911430254540812</v>
      </c>
      <c r="P26" s="7"/>
      <c r="Q26" s="1"/>
      <c r="R26" s="1"/>
      <c r="S26" s="1"/>
      <c r="T26" s="1"/>
      <c r="U26" s="1"/>
      <c r="V26" s="1"/>
    </row>
    <row r="27" spans="1:22" ht="17" thickBot="1" x14ac:dyDescent="0.25">
      <c r="A27" s="1"/>
      <c r="B27" s="1"/>
      <c r="C27" s="1"/>
      <c r="D27" s="1"/>
      <c r="E27" s="1"/>
      <c r="F27" s="1"/>
      <c r="G27" s="1"/>
      <c r="H27" s="7"/>
      <c r="I27" s="431" t="s">
        <v>138</v>
      </c>
      <c r="J27" s="432">
        <f>IFERROR(' Cash Flow'!J12/($H$7*'Income Statement_P&amp;L'!K25),"")</f>
        <v>-2.5576368876080686E-2</v>
      </c>
      <c r="K27" s="270">
        <f>IFERROR(' Cash Flow'!K12/($H$7*'Income Statement_P&amp;L'!L25),"")</f>
        <v>2.0716745218452459E-2</v>
      </c>
      <c r="L27" s="271">
        <f>IFERROR(' Cash Flow'!L12/($H$7*'Income Statement_P&amp;L'!M25),"")</f>
        <v>5.8296351686699568E-2</v>
      </c>
      <c r="M27" s="271">
        <f>IFERROR(' Cash Flow'!M12/($H$7*'Income Statement_P&amp;L'!N25),"")</f>
        <v>9.9909929953947901E-2</v>
      </c>
      <c r="N27" s="271">
        <f>IFERROR(' Cash Flow'!N12/($H$7*'Income Statement_P&amp;L'!O25),"")</f>
        <v>0.161248298062527</v>
      </c>
      <c r="O27" s="272">
        <f>IFERROR(' Cash Flow'!O12/($H$7*'Income Statement_P&amp;L'!P25),"")</f>
        <v>0.24198377999579179</v>
      </c>
      <c r="P27" s="7"/>
      <c r="Q27" s="1"/>
      <c r="R27" s="1"/>
      <c r="S27" s="1"/>
      <c r="T27" s="1"/>
      <c r="U27" s="1"/>
      <c r="V27" s="1"/>
    </row>
    <row r="28" spans="1:22" ht="16" x14ac:dyDescent="0.2">
      <c r="A28" s="1"/>
      <c r="B28" s="1"/>
      <c r="C28" s="1"/>
      <c r="D28" s="1"/>
      <c r="E28" s="1"/>
      <c r="F28" s="1"/>
      <c r="G28" s="1"/>
      <c r="H28" s="9"/>
      <c r="I28" s="9"/>
      <c r="J28" s="9"/>
      <c r="K28" s="9"/>
      <c r="L28" s="9"/>
      <c r="M28" s="9"/>
      <c r="N28" s="9"/>
      <c r="O28" s="9"/>
      <c r="P28" s="9"/>
      <c r="Q28" s="1"/>
      <c r="R28" s="1"/>
      <c r="S28" s="1"/>
      <c r="T28" s="1"/>
      <c r="U28" s="1"/>
      <c r="V28" s="1"/>
    </row>
    <row r="29" spans="1:22" ht="16" thickBot="1" x14ac:dyDescent="0.25">
      <c r="A29" s="1"/>
      <c r="F29" s="1"/>
      <c r="G29" s="1"/>
      <c r="I29" s="710"/>
      <c r="J29" s="710"/>
      <c r="K29" s="710"/>
      <c r="L29" s="710"/>
      <c r="M29" s="710"/>
      <c r="N29" s="710"/>
      <c r="O29" s="710"/>
      <c r="Q29" s="1"/>
      <c r="R29" s="1"/>
      <c r="S29" s="1"/>
      <c r="T29" s="1"/>
      <c r="U29" s="1"/>
      <c r="V29" s="1"/>
    </row>
    <row r="30" spans="1:22" ht="16" thickBot="1" x14ac:dyDescent="0.25">
      <c r="A30" s="1"/>
      <c r="F30" s="1"/>
      <c r="G30" s="1"/>
      <c r="K30" s="698" t="s">
        <v>179</v>
      </c>
      <c r="L30" s="699"/>
      <c r="M30" s="700"/>
      <c r="R30" s="1"/>
      <c r="S30" s="1"/>
      <c r="T30" s="1"/>
      <c r="U30" s="1"/>
      <c r="V30" s="1"/>
    </row>
    <row r="31" spans="1:22" ht="16" thickBot="1" x14ac:dyDescent="0.25">
      <c r="A31" s="1"/>
      <c r="F31" s="1"/>
      <c r="G31" s="1"/>
      <c r="K31" s="433"/>
      <c r="L31" s="29"/>
      <c r="M31" s="211"/>
      <c r="Q31" s="1"/>
      <c r="R31" s="1"/>
      <c r="S31" s="1"/>
      <c r="T31" s="1"/>
      <c r="U31" s="1"/>
      <c r="V31" s="1"/>
    </row>
    <row r="32" spans="1:22" ht="16" thickBot="1" x14ac:dyDescent="0.25">
      <c r="A32" s="1"/>
      <c r="F32" s="1"/>
      <c r="G32" s="1"/>
      <c r="K32" s="696" t="s">
        <v>119</v>
      </c>
      <c r="L32" s="697"/>
      <c r="M32" s="273">
        <f>IFERROR(M33+(Balance!J13-Balance!J6),"")</f>
        <v>21.375000000000004</v>
      </c>
      <c r="Q32" s="1"/>
      <c r="R32" s="1"/>
      <c r="S32" s="1"/>
      <c r="T32" s="1"/>
      <c r="U32" s="1"/>
      <c r="V32" s="1"/>
    </row>
    <row r="33" spans="1:22" ht="16" thickBot="1" x14ac:dyDescent="0.25">
      <c r="A33" s="1"/>
      <c r="F33" s="1"/>
      <c r="G33" s="1"/>
      <c r="K33" s="696" t="s">
        <v>11</v>
      </c>
      <c r="L33" s="697"/>
      <c r="M33" s="100">
        <f>IFERROR($H$7*'Income Statement_P&amp;L'!K25,"")</f>
        <v>22.208000000000002</v>
      </c>
      <c r="Q33" s="1"/>
      <c r="R33" s="1"/>
      <c r="S33" s="1"/>
      <c r="T33" s="1"/>
      <c r="U33" s="1"/>
      <c r="V33" s="1"/>
    </row>
    <row r="34" spans="1:22" ht="16" thickBot="1" x14ac:dyDescent="0.25">
      <c r="A34" s="1"/>
      <c r="F34" s="1"/>
      <c r="G34" s="1"/>
      <c r="K34" s="696" t="s">
        <v>155</v>
      </c>
      <c r="L34" s="697"/>
      <c r="M34" s="231">
        <f>IFERROR((Balance!J13-Balance!J6)/'Income Statement_P&amp;L'!K9,"")</f>
        <v>4.7329545454545459</v>
      </c>
      <c r="Q34" s="1"/>
      <c r="R34" s="1"/>
      <c r="S34" s="1"/>
      <c r="T34" s="1"/>
      <c r="U34" s="1"/>
      <c r="V34" s="1"/>
    </row>
    <row r="35" spans="1:22" ht="17" thickBot="1" x14ac:dyDescent="0.25">
      <c r="A35" s="1"/>
      <c r="F35" s="1"/>
      <c r="G35" s="1"/>
      <c r="K35" s="713" t="s">
        <v>133</v>
      </c>
      <c r="L35" s="714"/>
      <c r="M35" s="231">
        <f>IFERROR(($H$7*'Income Statement_P&amp;L'!K25)/Balance!J18,"")</f>
        <v>16.836997725549661</v>
      </c>
      <c r="Q35" s="1"/>
      <c r="R35" s="1"/>
      <c r="S35" s="1"/>
      <c r="T35" s="1"/>
      <c r="U35" s="1"/>
      <c r="V35" s="1"/>
    </row>
    <row r="36" spans="1:22" ht="17" thickBot="1" x14ac:dyDescent="0.25">
      <c r="A36" s="1"/>
      <c r="F36" s="1"/>
      <c r="G36" s="1"/>
      <c r="K36" s="713" t="s">
        <v>134</v>
      </c>
      <c r="L36" s="714"/>
      <c r="M36" s="232">
        <f>IFERROR(Balance!J20,"")</f>
        <v>-0.32600454890068237</v>
      </c>
      <c r="Q36" s="10"/>
      <c r="R36" s="1"/>
      <c r="S36" s="1"/>
      <c r="T36" s="1"/>
      <c r="U36" s="1"/>
      <c r="V36" s="1"/>
    </row>
    <row r="37" spans="1:22" ht="17" thickBot="1" x14ac:dyDescent="0.25">
      <c r="A37" s="1"/>
      <c r="F37" s="1"/>
      <c r="G37" s="1"/>
      <c r="K37" s="713" t="s">
        <v>141</v>
      </c>
      <c r="L37" s="714"/>
      <c r="M37" s="232">
        <f>IFERROR(M36/M35,"")</f>
        <v>-1.9362391930835735E-2</v>
      </c>
      <c r="Q37" s="1"/>
      <c r="R37" s="1"/>
      <c r="S37" s="1"/>
      <c r="T37" s="1"/>
      <c r="U37" s="1"/>
      <c r="V37" s="1"/>
    </row>
    <row r="38" spans="1:22" ht="16" thickBot="1" x14ac:dyDescent="0.25">
      <c r="A38" s="1"/>
      <c r="F38" s="1"/>
      <c r="G38" s="1"/>
      <c r="K38" s="696" t="s">
        <v>142</v>
      </c>
      <c r="L38" s="697"/>
      <c r="M38" s="232">
        <f>IFERROR(('Income Statement_P&amp;L'!K12-'Income Statement_P&amp;L'!E12)/(Balance!J18-Balance!E18),"")</f>
        <v>-0.32600454890068237</v>
      </c>
      <c r="Q38" s="1"/>
      <c r="R38" s="1"/>
      <c r="S38" s="1"/>
      <c r="T38" s="1"/>
      <c r="U38" s="1"/>
      <c r="V38" s="1"/>
    </row>
    <row r="39" spans="1:22" x14ac:dyDescent="0.2">
      <c r="A39" s="1"/>
      <c r="F39" s="1"/>
      <c r="G39" s="1"/>
      <c r="Q39" s="1"/>
      <c r="R39" s="1"/>
      <c r="S39" s="1"/>
      <c r="T39" s="1"/>
      <c r="U39" s="1"/>
      <c r="V39" s="1"/>
    </row>
    <row r="40" spans="1:22" x14ac:dyDescent="0.2">
      <c r="A40" s="1"/>
      <c r="F40" s="1"/>
      <c r="G40" s="1"/>
      <c r="Q40" s="1"/>
      <c r="R40" s="1"/>
      <c r="S40" s="1"/>
      <c r="T40" s="1"/>
      <c r="U40" s="1"/>
      <c r="V40" s="1"/>
    </row>
    <row r="41" spans="1:22" x14ac:dyDescent="0.2">
      <c r="A41" s="1"/>
      <c r="F41" s="1"/>
      <c r="G41" s="1"/>
      <c r="Q41" s="1"/>
      <c r="R41" s="1"/>
      <c r="S41" s="1"/>
      <c r="T41" s="1"/>
      <c r="U41" s="1"/>
      <c r="V41" s="1"/>
    </row>
    <row r="42" spans="1:22" x14ac:dyDescent="0.2">
      <c r="A42" s="1"/>
      <c r="F42" s="1"/>
      <c r="G42" s="1"/>
      <c r="Q42" s="1"/>
      <c r="R42" s="1"/>
      <c r="S42" s="1"/>
      <c r="T42" s="1"/>
      <c r="U42" s="1"/>
      <c r="V42" s="1"/>
    </row>
    <row r="43" spans="1:22" x14ac:dyDescent="0.2">
      <c r="A43" s="1"/>
      <c r="F43" s="1"/>
      <c r="G43" s="1"/>
      <c r="Q43" s="1"/>
      <c r="R43" s="1"/>
      <c r="S43" s="1"/>
      <c r="T43" s="1"/>
      <c r="U43" s="1"/>
      <c r="V43" s="1"/>
    </row>
    <row r="44" spans="1:22" x14ac:dyDescent="0.2">
      <c r="A44" s="1"/>
      <c r="F44" s="1"/>
      <c r="G44" s="1"/>
      <c r="Q44" s="1"/>
      <c r="R44" s="1"/>
      <c r="S44" s="1"/>
      <c r="T44" s="1"/>
      <c r="U44" s="1"/>
      <c r="V44" s="1"/>
    </row>
    <row r="45" spans="1:22" x14ac:dyDescent="0.2">
      <c r="A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x14ac:dyDescent="0.2">
      <c r="A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">
      <c r="A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x14ac:dyDescent="0.2">
      <c r="A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51" spans="2:16" ht="21" x14ac:dyDescent="0.25">
      <c r="B51" s="701" t="s">
        <v>171</v>
      </c>
      <c r="C51" s="701"/>
      <c r="D51" s="701"/>
      <c r="E51" s="701"/>
      <c r="F51" s="701"/>
      <c r="G51" s="701"/>
      <c r="H51" s="701"/>
      <c r="I51" s="701"/>
      <c r="J51" s="701"/>
      <c r="K51" s="701"/>
      <c r="L51" s="701"/>
      <c r="M51" s="701"/>
      <c r="N51" s="701"/>
      <c r="O51" s="701"/>
      <c r="P51" s="701"/>
    </row>
    <row r="52" spans="2:16" outlineLevel="1" x14ac:dyDescent="0.2">
      <c r="B52" s="29"/>
      <c r="F52" s="11"/>
      <c r="G52" s="11"/>
      <c r="H52" s="11"/>
      <c r="I52" s="11"/>
    </row>
    <row r="53" spans="2:16" ht="16" outlineLevel="1" thickBot="1" x14ac:dyDescent="0.25">
      <c r="B53" s="29"/>
      <c r="F53" s="11"/>
      <c r="G53" s="11"/>
      <c r="H53" s="11"/>
      <c r="I53" s="11"/>
    </row>
    <row r="54" spans="2:16" ht="16" outlineLevel="1" thickBot="1" x14ac:dyDescent="0.25">
      <c r="B54" s="29"/>
      <c r="C54" s="435" t="s">
        <v>30</v>
      </c>
      <c r="D54" s="436"/>
      <c r="E54" s="478">
        <f>' Cash Flow'!J12</f>
        <v>-0.56799999999999995</v>
      </c>
      <c r="F54" s="12"/>
      <c r="G54" s="442" t="s">
        <v>27</v>
      </c>
      <c r="H54" s="443" t="s">
        <v>28</v>
      </c>
      <c r="I54" s="444" t="s">
        <v>29</v>
      </c>
    </row>
    <row r="55" spans="2:16" ht="16" outlineLevel="1" thickBot="1" x14ac:dyDescent="0.25">
      <c r="B55" s="29"/>
      <c r="C55" s="437" t="s">
        <v>22</v>
      </c>
      <c r="D55" s="438"/>
      <c r="E55" s="72">
        <f>AVERAGE(' Cash Flow'!K14:O14)</f>
        <v>0.37864359587707064</v>
      </c>
      <c r="F55" s="19"/>
      <c r="G55" s="24">
        <v>1</v>
      </c>
      <c r="H55" s="23">
        <f>(E54*I55)+E54</f>
        <v>-0.78306956245817605</v>
      </c>
      <c r="I55" s="25">
        <f>$E$55</f>
        <v>0.37864359587707064</v>
      </c>
    </row>
    <row r="56" spans="2:16" ht="16" outlineLevel="1" thickBot="1" x14ac:dyDescent="0.25">
      <c r="B56" s="29"/>
      <c r="C56" s="439" t="s">
        <v>23</v>
      </c>
      <c r="D56" s="438"/>
      <c r="E56" s="72">
        <v>0.02</v>
      </c>
      <c r="F56" s="11"/>
      <c r="G56" s="24">
        <v>2</v>
      </c>
      <c r="H56" s="23">
        <f>(H55*I56)+H55</f>
        <v>-1.0795738374092241</v>
      </c>
      <c r="I56" s="25">
        <f>$E$55</f>
        <v>0.37864359587707064</v>
      </c>
    </row>
    <row r="57" spans="2:16" ht="16" outlineLevel="1" thickBot="1" x14ac:dyDescent="0.25">
      <c r="B57" s="29"/>
      <c r="C57" s="439" t="s">
        <v>24</v>
      </c>
      <c r="D57" s="438"/>
      <c r="E57" s="72">
        <v>7.0000000000000007E-2</v>
      </c>
      <c r="G57" s="24">
        <v>3</v>
      </c>
      <c r="H57" s="23">
        <f>(H56*I57)+H56</f>
        <v>-1.4883475572206608</v>
      </c>
      <c r="I57" s="25">
        <f>$E$55</f>
        <v>0.37864359587707064</v>
      </c>
    </row>
    <row r="58" spans="2:16" ht="16" outlineLevel="1" thickBot="1" x14ac:dyDescent="0.25">
      <c r="B58" s="29"/>
      <c r="C58" s="439" t="s">
        <v>25</v>
      </c>
      <c r="D58" s="438"/>
      <c r="E58" s="31">
        <f>'Income Statement_P&amp;L'!K25</f>
        <v>6.94</v>
      </c>
      <c r="F58" s="11"/>
      <c r="G58" s="24">
        <v>4</v>
      </c>
      <c r="H58" s="23">
        <f>(H57*I58)+H57</f>
        <v>-2.0519008282015458</v>
      </c>
      <c r="I58" s="25">
        <f>$E$55</f>
        <v>0.37864359587707064</v>
      </c>
    </row>
    <row r="59" spans="2:16" ht="16" outlineLevel="1" thickBot="1" x14ac:dyDescent="0.25">
      <c r="B59" s="29"/>
      <c r="C59" s="440" t="s">
        <v>26</v>
      </c>
      <c r="D59" s="441"/>
      <c r="E59" s="20">
        <f>Balance!J13-Balance!J6</f>
        <v>-0.83300000000000007</v>
      </c>
      <c r="F59" s="11"/>
      <c r="G59" s="26">
        <v>5</v>
      </c>
      <c r="H59" s="27">
        <f>(H58*I59)+H58</f>
        <v>-2.8288399361749184</v>
      </c>
      <c r="I59" s="28">
        <f>$E$55</f>
        <v>0.37864359587707064</v>
      </c>
    </row>
    <row r="60" spans="2:16" ht="16" outlineLevel="1" thickBot="1" x14ac:dyDescent="0.25">
      <c r="B60" s="29"/>
      <c r="F60" s="11"/>
      <c r="G60" s="11"/>
      <c r="H60" s="11"/>
      <c r="I60" s="11"/>
    </row>
    <row r="61" spans="2:16" outlineLevel="1" x14ac:dyDescent="0.2">
      <c r="B61" s="29"/>
      <c r="C61" s="11"/>
      <c r="D61" s="11"/>
      <c r="E61" s="445" t="s">
        <v>33</v>
      </c>
      <c r="F61" s="32"/>
      <c r="G61" s="33">
        <f>(H59*(1+E56))</f>
        <v>-2.885416734898417</v>
      </c>
      <c r="I61" s="11"/>
    </row>
    <row r="62" spans="2:16" outlineLevel="1" x14ac:dyDescent="0.2">
      <c r="B62" s="29"/>
      <c r="E62" s="446"/>
      <c r="F62" s="34"/>
      <c r="G62" s="35"/>
      <c r="I62" s="11"/>
    </row>
    <row r="63" spans="2:16" outlineLevel="1" x14ac:dyDescent="0.2">
      <c r="B63" s="29"/>
      <c r="E63" s="447" t="s">
        <v>31</v>
      </c>
      <c r="F63" s="34"/>
      <c r="G63" s="36">
        <f>SUM(H55:H59)</f>
        <v>-8.2317317214645236</v>
      </c>
      <c r="I63" s="11"/>
    </row>
    <row r="64" spans="2:16" outlineLevel="1" x14ac:dyDescent="0.2">
      <c r="B64" s="29"/>
      <c r="E64" s="448"/>
      <c r="F64" s="34"/>
      <c r="G64" s="36"/>
      <c r="I64" s="11"/>
    </row>
    <row r="65" spans="2:9" outlineLevel="1" x14ac:dyDescent="0.2">
      <c r="B65" s="29"/>
      <c r="E65" s="448" t="s">
        <v>37</v>
      </c>
      <c r="F65" s="34"/>
      <c r="G65" s="36">
        <f>((G61/($E$57-$E$56)))/(1+$E$57)^G59</f>
        <v>-41.145245080669262</v>
      </c>
      <c r="I65" s="11"/>
    </row>
    <row r="66" spans="2:9" outlineLevel="1" x14ac:dyDescent="0.2">
      <c r="B66" s="29"/>
      <c r="E66" s="448" t="s">
        <v>36</v>
      </c>
      <c r="F66" s="34"/>
      <c r="G66" s="36">
        <f>Balance!J6</f>
        <v>1.5640000000000001</v>
      </c>
      <c r="I66" s="11"/>
    </row>
    <row r="67" spans="2:9" outlineLevel="1" x14ac:dyDescent="0.2">
      <c r="B67" s="29"/>
      <c r="E67" s="448" t="s">
        <v>35</v>
      </c>
      <c r="F67" s="34"/>
      <c r="G67" s="36">
        <f>G63+G65</f>
        <v>-49.376976802133782</v>
      </c>
      <c r="I67" s="11"/>
    </row>
    <row r="68" spans="2:9" outlineLevel="1" x14ac:dyDescent="0.2">
      <c r="B68" s="29"/>
      <c r="C68" s="13"/>
      <c r="D68" s="14"/>
      <c r="E68" s="448"/>
      <c r="F68" s="34"/>
      <c r="G68" s="36"/>
      <c r="I68" s="11"/>
    </row>
    <row r="69" spans="2:9" ht="16" outlineLevel="1" thickBot="1" x14ac:dyDescent="0.25">
      <c r="B69" s="29"/>
      <c r="C69" s="13"/>
      <c r="D69" s="14"/>
      <c r="E69" s="449" t="s">
        <v>32</v>
      </c>
      <c r="F69" s="37"/>
      <c r="G69" s="38">
        <f>E58</f>
        <v>6.94</v>
      </c>
      <c r="I69" s="11"/>
    </row>
    <row r="70" spans="2:9" ht="16" outlineLevel="1" thickBot="1" x14ac:dyDescent="0.25">
      <c r="B70" s="29"/>
      <c r="C70" s="13"/>
      <c r="D70" s="14"/>
      <c r="E70" s="18"/>
      <c r="F70" s="22"/>
      <c r="G70" s="22"/>
      <c r="H70" s="21"/>
      <c r="I70" s="11"/>
    </row>
    <row r="71" spans="2:9" ht="17" outlineLevel="1" thickBot="1" x14ac:dyDescent="0.25">
      <c r="B71" s="29"/>
      <c r="C71" s="13"/>
      <c r="D71" s="479" t="s">
        <v>34</v>
      </c>
      <c r="E71" s="480"/>
      <c r="F71" s="480"/>
      <c r="G71" s="480"/>
      <c r="H71" s="481">
        <f>IFERROR((G67-E59)/G69,"")</f>
        <v>-6.9948093374832538</v>
      </c>
      <c r="I71" s="11"/>
    </row>
    <row r="72" spans="2:9" ht="16" outlineLevel="1" thickBot="1" x14ac:dyDescent="0.25">
      <c r="B72" s="29"/>
      <c r="C72" s="13"/>
      <c r="D72" s="705" t="s">
        <v>128</v>
      </c>
      <c r="E72" s="706"/>
      <c r="F72" s="706"/>
      <c r="G72" s="707"/>
      <c r="H72" s="227">
        <f>IFERROR(1-(H7/H71),"")</f>
        <v>1.4574820907343511</v>
      </c>
      <c r="I72" s="11"/>
    </row>
    <row r="73" spans="2:9" x14ac:dyDescent="0.2">
      <c r="B73" s="29"/>
      <c r="C73" s="13"/>
      <c r="D73" s="17"/>
      <c r="E73" s="15"/>
      <c r="F73" s="16"/>
      <c r="G73" s="11"/>
      <c r="H73" s="11"/>
      <c r="I73" s="11"/>
    </row>
    <row r="74" spans="2:9" x14ac:dyDescent="0.2">
      <c r="C74" s="13"/>
      <c r="D74" s="17"/>
      <c r="E74" s="15"/>
      <c r="F74" s="16"/>
      <c r="G74" s="11"/>
      <c r="H74" s="11"/>
      <c r="I74" s="11"/>
    </row>
    <row r="75" spans="2:9" x14ac:dyDescent="0.2">
      <c r="G75" s="30"/>
      <c r="H75" s="11"/>
      <c r="I75" s="11"/>
    </row>
    <row r="76" spans="2:9" x14ac:dyDescent="0.2">
      <c r="G76" s="30"/>
      <c r="H76" s="11"/>
      <c r="I76" s="11"/>
    </row>
    <row r="77" spans="2:9" x14ac:dyDescent="0.2">
      <c r="G77" s="30"/>
      <c r="H77" s="11"/>
      <c r="I77" s="11"/>
    </row>
    <row r="78" spans="2:9" x14ac:dyDescent="0.2">
      <c r="G78" s="30"/>
      <c r="H78" s="11"/>
      <c r="I78" s="11"/>
    </row>
    <row r="79" spans="2:9" x14ac:dyDescent="0.2">
      <c r="G79" s="30"/>
      <c r="H79" s="11"/>
      <c r="I79" s="11"/>
    </row>
    <row r="80" spans="2:9" x14ac:dyDescent="0.2">
      <c r="G80" s="30"/>
      <c r="H80" s="11"/>
      <c r="I80" s="11"/>
    </row>
    <row r="81" spans="3:9" x14ac:dyDescent="0.2">
      <c r="G81" s="30"/>
      <c r="H81" s="11"/>
      <c r="I81" s="11"/>
    </row>
    <row r="82" spans="3:9" x14ac:dyDescent="0.2">
      <c r="G82" s="30"/>
      <c r="H82" s="11"/>
      <c r="I82" s="11"/>
    </row>
    <row r="83" spans="3:9" x14ac:dyDescent="0.2">
      <c r="G83" s="30"/>
      <c r="H83" s="11"/>
      <c r="I83" s="11"/>
    </row>
    <row r="84" spans="3:9" x14ac:dyDescent="0.2">
      <c r="G84" s="30"/>
      <c r="H84" s="11"/>
      <c r="I84" s="11"/>
    </row>
    <row r="85" spans="3:9" x14ac:dyDescent="0.2">
      <c r="G85" s="30"/>
      <c r="H85" s="11"/>
      <c r="I85" s="11"/>
    </row>
    <row r="86" spans="3:9" x14ac:dyDescent="0.2">
      <c r="C86" s="30"/>
      <c r="D86" s="30"/>
      <c r="E86" s="30"/>
      <c r="F86" s="30"/>
      <c r="G86" s="30"/>
      <c r="H86" s="11"/>
      <c r="I86" s="11"/>
    </row>
  </sheetData>
  <sheetProtection selectLockedCells="1"/>
  <mergeCells count="19">
    <mergeCell ref="K34:L34"/>
    <mergeCell ref="D72:G72"/>
    <mergeCell ref="P12:Q12"/>
    <mergeCell ref="B51:P51"/>
    <mergeCell ref="I29:O29"/>
    <mergeCell ref="P13:Q13"/>
    <mergeCell ref="P14:Q14"/>
    <mergeCell ref="P15:Q15"/>
    <mergeCell ref="P17:Q17"/>
    <mergeCell ref="K37:L37"/>
    <mergeCell ref="K36:L36"/>
    <mergeCell ref="K35:L35"/>
    <mergeCell ref="K38:L38"/>
    <mergeCell ref="K33:L33"/>
    <mergeCell ref="K32:L32"/>
    <mergeCell ref="K30:M30"/>
    <mergeCell ref="D3:K3"/>
    <mergeCell ref="B5:P5"/>
    <mergeCell ref="E7:G7"/>
  </mergeCells>
  <conditionalFormatting sqref="I20:O27">
    <cfRule type="expression" dxfId="2" priority="6">
      <formula>$M$20=FALSE</formula>
    </cfRule>
  </conditionalFormatting>
  <conditionalFormatting sqref="M21 E18:K18 P17:R17">
    <cfRule type="expression" dxfId="1" priority="5">
      <formula>$Q$22=FALSE</formula>
    </cfRule>
  </conditionalFormatting>
  <conditionalFormatting sqref="P12:S15 C12:O16">
    <cfRule type="expression" dxfId="0" priority="4">
      <formula>$Q$22=TRUE</formula>
    </cfRule>
  </conditionalFormatting>
  <conditionalFormatting sqref="D13:E16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{07C5ECF5-699A-46D7-B60B-81729896F3E5}</x14:id>
        </ext>
      </extLst>
    </cfRule>
  </conditionalFormatting>
  <conditionalFormatting sqref="H72">
    <cfRule type="dataBar" priority="2">
      <dataBar>
        <cfvo type="num" val="0"/>
        <cfvo type="num" val="1"/>
        <color rgb="FF63C384"/>
      </dataBar>
    </cfRule>
  </conditionalFormatting>
  <conditionalFormatting sqref="H71">
    <cfRule type="dataBar" priority="1">
      <dataBar>
        <cfvo type="num" val="0"/>
        <cfvo type="num" val="1"/>
        <color rgb="FF63C384"/>
      </dataBar>
    </cfRule>
  </conditionalFormatting>
  <dataValidations disablePrompts="1" count="1">
    <dataValidation type="decimal" allowBlank="1" showInputMessage="1" showErrorMessage="1" error="El valor introducido ha de ser numérico" sqref="R17" xr:uid="{00000000-0002-0000-0300-000000000000}">
      <formula1>-1000</formula1>
      <formula2>1000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11</xdr:col>
                    <xdr:colOff>673100</xdr:colOff>
                    <xdr:row>16</xdr:row>
                    <xdr:rowOff>63500</xdr:rowOff>
                  </from>
                  <to>
                    <xdr:col>12</xdr:col>
                    <xdr:colOff>114300</xdr:colOff>
                    <xdr:row>18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11</xdr:col>
                    <xdr:colOff>673100</xdr:colOff>
                    <xdr:row>17</xdr:row>
                    <xdr:rowOff>317500</xdr:rowOff>
                  </from>
                  <to>
                    <xdr:col>12</xdr:col>
                    <xdr:colOff>0</xdr:colOff>
                    <xdr:row>19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C5ECF5-699A-46D7-B60B-81729896F3E5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D13:E16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R49"/>
  <sheetViews>
    <sheetView showGridLines="0" workbookViewId="0">
      <pane ySplit="2" topLeftCell="A3" activePane="bottomLeft" state="frozen"/>
      <selection activeCell="C1" sqref="C1"/>
      <selection pane="bottomLeft" activeCell="G8" sqref="G8"/>
    </sheetView>
  </sheetViews>
  <sheetFormatPr baseColWidth="10" defaultColWidth="9.1640625" defaultRowHeight="15" x14ac:dyDescent="0.2"/>
  <cols>
    <col min="1" max="1" width="3.6640625" customWidth="1"/>
    <col min="2" max="2" width="4.5" customWidth="1"/>
    <col min="3" max="3" width="26.5" customWidth="1"/>
    <col min="4" max="5" width="11.6640625" customWidth="1"/>
    <col min="6" max="6" width="16.83203125" customWidth="1"/>
    <col min="7" max="7" width="11.5" customWidth="1"/>
    <col min="8" max="8" width="15.5" customWidth="1"/>
    <col min="9" max="9" width="11.1640625" customWidth="1"/>
    <col min="10" max="10" width="13.5" customWidth="1"/>
    <col min="11" max="11" width="13.6640625" customWidth="1"/>
    <col min="12" max="12" width="11.33203125" customWidth="1"/>
    <col min="13" max="13" width="12" customWidth="1"/>
    <col min="15" max="15" width="11.83203125" customWidth="1"/>
  </cols>
  <sheetData>
    <row r="1" spans="3:18" ht="27" thickBot="1" x14ac:dyDescent="0.35">
      <c r="D1" s="715" t="s">
        <v>77</v>
      </c>
      <c r="E1" s="716"/>
      <c r="F1" s="716"/>
      <c r="G1" s="716"/>
      <c r="H1" s="716"/>
      <c r="I1" s="716"/>
      <c r="J1" s="716"/>
      <c r="K1" s="717"/>
    </row>
    <row r="2" spans="3:18" ht="17" thickBot="1" x14ac:dyDescent="0.25">
      <c r="D2" s="62">
        <v>2009</v>
      </c>
      <c r="E2" s="63">
        <f>D2+1</f>
        <v>2010</v>
      </c>
      <c r="F2" s="63">
        <f t="shared" ref="F2:M2" si="0">E2+1</f>
        <v>2011</v>
      </c>
      <c r="G2" s="63">
        <f t="shared" si="0"/>
        <v>2012</v>
      </c>
      <c r="H2" s="63">
        <f t="shared" si="0"/>
        <v>2013</v>
      </c>
      <c r="I2" s="63">
        <f t="shared" si="0"/>
        <v>2014</v>
      </c>
      <c r="J2" s="63">
        <f t="shared" si="0"/>
        <v>2015</v>
      </c>
      <c r="K2" s="113">
        <f t="shared" si="0"/>
        <v>2016</v>
      </c>
      <c r="L2" s="87">
        <f t="shared" si="0"/>
        <v>2017</v>
      </c>
      <c r="M2" s="87">
        <f t="shared" si="0"/>
        <v>2018</v>
      </c>
      <c r="N2" s="96"/>
      <c r="O2" s="96" t="s">
        <v>115</v>
      </c>
    </row>
    <row r="3" spans="3:18" ht="16" x14ac:dyDescent="0.2">
      <c r="C3" s="160" t="s">
        <v>120</v>
      </c>
      <c r="D3" s="176"/>
      <c r="E3" s="168"/>
      <c r="F3" s="168"/>
      <c r="G3" s="169"/>
      <c r="H3" s="169"/>
      <c r="I3" s="169"/>
      <c r="J3" s="169"/>
      <c r="K3" s="170"/>
      <c r="L3" s="81"/>
      <c r="M3" s="195"/>
      <c r="N3" s="136"/>
      <c r="O3" s="137"/>
    </row>
    <row r="4" spans="3:18" ht="16" x14ac:dyDescent="0.2">
      <c r="C4" s="161" t="s">
        <v>121</v>
      </c>
      <c r="D4" s="176"/>
      <c r="E4" s="168"/>
      <c r="F4" s="168"/>
      <c r="G4" s="169"/>
      <c r="H4" s="169"/>
      <c r="I4" s="169"/>
      <c r="J4" s="169"/>
      <c r="K4" s="170"/>
      <c r="L4" s="41"/>
      <c r="M4" s="88"/>
      <c r="N4" s="29"/>
      <c r="O4" s="138"/>
    </row>
    <row r="5" spans="3:18" ht="16" x14ac:dyDescent="0.2">
      <c r="C5" s="161" t="s">
        <v>122</v>
      </c>
      <c r="D5" s="176"/>
      <c r="E5" s="168"/>
      <c r="F5" s="168"/>
      <c r="G5" s="169"/>
      <c r="H5" s="169"/>
      <c r="I5" s="169"/>
      <c r="J5" s="169"/>
      <c r="K5" s="170"/>
      <c r="L5" s="41"/>
      <c r="M5" s="88"/>
      <c r="N5" s="29"/>
      <c r="O5" s="138"/>
    </row>
    <row r="6" spans="3:18" ht="16" x14ac:dyDescent="0.2">
      <c r="C6" s="161" t="s">
        <v>123</v>
      </c>
      <c r="D6" s="176"/>
      <c r="E6" s="168"/>
      <c r="F6" s="168"/>
      <c r="G6" s="169"/>
      <c r="H6" s="169"/>
      <c r="I6" s="169"/>
      <c r="J6" s="169"/>
      <c r="K6" s="170"/>
      <c r="L6" s="41"/>
      <c r="M6" s="88"/>
      <c r="N6" s="29"/>
      <c r="O6" s="138"/>
    </row>
    <row r="7" spans="3:18" ht="17" thickBot="1" x14ac:dyDescent="0.25">
      <c r="C7" s="162" t="s">
        <v>125</v>
      </c>
      <c r="D7" s="176"/>
      <c r="E7" s="168"/>
      <c r="F7" s="168"/>
      <c r="G7" s="169"/>
      <c r="H7" s="169"/>
      <c r="I7" s="169"/>
      <c r="J7" s="169"/>
      <c r="K7" s="170"/>
      <c r="L7" s="82"/>
      <c r="M7" s="213"/>
      <c r="N7" s="29"/>
      <c r="O7" s="138"/>
    </row>
    <row r="8" spans="3:18" ht="17" thickBot="1" x14ac:dyDescent="0.25">
      <c r="C8" s="119" t="s">
        <v>86</v>
      </c>
      <c r="D8" s="89"/>
      <c r="E8" s="90"/>
      <c r="F8" s="90"/>
      <c r="G8" s="91"/>
      <c r="H8" s="91"/>
      <c r="I8" s="91"/>
      <c r="J8" s="91"/>
      <c r="K8" s="121"/>
      <c r="L8" s="214">
        <f>IFERROR((K8*$P$8)+K8,"")</f>
        <v>0</v>
      </c>
      <c r="M8" s="215">
        <f>IFERROR((L8*$P$8)+L8,"")</f>
        <v>0</v>
      </c>
      <c r="N8" s="84"/>
      <c r="O8" s="210" t="s">
        <v>72</v>
      </c>
      <c r="P8" s="200">
        <v>0.06</v>
      </c>
      <c r="R8" s="164" t="str">
        <f>IFERROR(AVERAGE(D10:K10),"")</f>
        <v/>
      </c>
    </row>
    <row r="9" spans="3:18" ht="17" thickBot="1" x14ac:dyDescent="0.25">
      <c r="C9" s="166" t="s">
        <v>124</v>
      </c>
      <c r="D9" s="177"/>
      <c r="E9" s="178" t="str">
        <f>IFERROR((E8-D8)/D8,"")</f>
        <v/>
      </c>
      <c r="F9" s="178" t="str">
        <f t="shared" ref="F9:K9" si="1">IFERROR((F8-E8)/E8,"")</f>
        <v/>
      </c>
      <c r="G9" s="178" t="str">
        <f t="shared" si="1"/>
        <v/>
      </c>
      <c r="H9" s="178" t="str">
        <f t="shared" si="1"/>
        <v/>
      </c>
      <c r="I9" s="178" t="str">
        <f t="shared" si="1"/>
        <v/>
      </c>
      <c r="J9" s="178" t="str">
        <f t="shared" si="1"/>
        <v/>
      </c>
      <c r="K9" s="178" t="str">
        <f t="shared" si="1"/>
        <v/>
      </c>
      <c r="L9" s="216">
        <f>P8</f>
        <v>0.06</v>
      </c>
      <c r="M9" s="217">
        <f>P8</f>
        <v>0.06</v>
      </c>
      <c r="N9" s="138"/>
      <c r="O9" s="211"/>
      <c r="R9" s="164" t="str">
        <f>IFERROR(AVERAGE(D10:K10),"")</f>
        <v/>
      </c>
    </row>
    <row r="10" spans="3:18" ht="17" thickBot="1" x14ac:dyDescent="0.25">
      <c r="C10" s="165" t="s">
        <v>87</v>
      </c>
      <c r="D10" s="145"/>
      <c r="E10" s="146"/>
      <c r="F10" s="146"/>
      <c r="G10" s="147"/>
      <c r="H10" s="147"/>
      <c r="I10" s="147"/>
      <c r="J10" s="147"/>
      <c r="K10" s="149"/>
      <c r="L10" s="218">
        <v>3000</v>
      </c>
      <c r="M10" s="219">
        <v>3000</v>
      </c>
      <c r="N10" s="85"/>
      <c r="O10" s="212" t="s">
        <v>115</v>
      </c>
      <c r="P10" s="191" t="str">
        <f>IFERROR(AVERAGE(D10:K10),"")</f>
        <v/>
      </c>
      <c r="R10" s="164" t="str">
        <f>IFERROR(AVERAGE(D10:K10),"")</f>
        <v/>
      </c>
    </row>
    <row r="11" spans="3:18" ht="17" thickBot="1" x14ac:dyDescent="0.25">
      <c r="C11" s="139" t="s">
        <v>124</v>
      </c>
      <c r="D11" s="177"/>
      <c r="E11" s="178" t="str">
        <f>IFERROR((E10-D10)/D10,"")</f>
        <v/>
      </c>
      <c r="F11" s="178" t="str">
        <f t="shared" ref="F11:K11" si="2">IFERROR((F10-E10)/E10,"")</f>
        <v/>
      </c>
      <c r="G11" s="178" t="str">
        <f t="shared" si="2"/>
        <v/>
      </c>
      <c r="H11" s="178" t="str">
        <f t="shared" si="2"/>
        <v/>
      </c>
      <c r="I11" s="178" t="str">
        <f t="shared" si="2"/>
        <v/>
      </c>
      <c r="J11" s="178" t="str">
        <f t="shared" si="2"/>
        <v/>
      </c>
      <c r="K11" s="178" t="str">
        <f t="shared" si="2"/>
        <v/>
      </c>
      <c r="L11" s="218"/>
      <c r="M11" s="219"/>
      <c r="N11" s="138"/>
      <c r="O11" s="211"/>
      <c r="R11" s="164" t="str">
        <f>IFERROR(AVERAGE(D10:K10),"")</f>
        <v/>
      </c>
    </row>
    <row r="12" spans="3:18" ht="17" thickBot="1" x14ac:dyDescent="0.25">
      <c r="C12" s="118" t="s">
        <v>88</v>
      </c>
      <c r="D12" s="145"/>
      <c r="E12" s="146"/>
      <c r="F12" s="146"/>
      <c r="G12" s="147"/>
      <c r="H12" s="147"/>
      <c r="I12" s="147"/>
      <c r="J12" s="147"/>
      <c r="K12" s="149"/>
      <c r="L12" s="218">
        <v>9000</v>
      </c>
      <c r="M12" s="219">
        <v>10000</v>
      </c>
      <c r="N12" s="85"/>
      <c r="O12" s="88"/>
      <c r="R12" s="164" t="str">
        <f>IFERROR(AVERAGE(D10:K10),"")</f>
        <v/>
      </c>
    </row>
    <row r="13" spans="3:18" ht="17" thickBot="1" x14ac:dyDescent="0.25">
      <c r="C13" s="118" t="s">
        <v>89</v>
      </c>
      <c r="D13" s="145"/>
      <c r="E13" s="146"/>
      <c r="F13" s="146"/>
      <c r="G13" s="147"/>
      <c r="H13" s="147"/>
      <c r="I13" s="147"/>
      <c r="J13" s="147"/>
      <c r="K13" s="149"/>
      <c r="L13" s="196">
        <f>IFERROR((K13*$P$8)+K13,"")</f>
        <v>0</v>
      </c>
      <c r="M13" s="197">
        <f>IFERROR((L13*$P$8)+L13,"")</f>
        <v>0</v>
      </c>
      <c r="N13" s="85"/>
      <c r="O13" s="88"/>
      <c r="R13" s="164" t="str">
        <f>IFERROR(AVERAGE(D10:K10),"")</f>
        <v/>
      </c>
    </row>
    <row r="14" spans="3:18" ht="17" thickBot="1" x14ac:dyDescent="0.25">
      <c r="C14" s="118" t="s">
        <v>2</v>
      </c>
      <c r="D14" s="183"/>
      <c r="E14" s="184"/>
      <c r="F14" s="184"/>
      <c r="G14" s="185"/>
      <c r="H14" s="185"/>
      <c r="I14" s="185"/>
      <c r="J14" s="185"/>
      <c r="K14" s="193"/>
      <c r="L14" s="214">
        <f>IFERROR((K14*$P$15)+K14,"")</f>
        <v>0</v>
      </c>
      <c r="M14" s="215">
        <f>IFERROR((L14*$P$15)+L14,"")</f>
        <v>0</v>
      </c>
      <c r="N14" s="85"/>
      <c r="O14" s="88"/>
      <c r="R14" s="164" t="str">
        <f>IFERROR(AVERAGE(D10:K10),"")</f>
        <v/>
      </c>
    </row>
    <row r="15" spans="3:18" ht="17" thickBot="1" x14ac:dyDescent="0.25">
      <c r="C15" s="182" t="s">
        <v>90</v>
      </c>
      <c r="D15" s="181" t="str">
        <f>IFERROR(D14/D8,"")</f>
        <v/>
      </c>
      <c r="E15" s="189" t="str">
        <f t="shared" ref="E15:K15" si="3">IFERROR(E14/E8,"")</f>
        <v/>
      </c>
      <c r="F15" s="189" t="str">
        <f t="shared" si="3"/>
        <v/>
      </c>
      <c r="G15" s="189" t="str">
        <f t="shared" si="3"/>
        <v/>
      </c>
      <c r="H15" s="189" t="str">
        <f t="shared" si="3"/>
        <v/>
      </c>
      <c r="I15" s="189" t="str">
        <f t="shared" si="3"/>
        <v/>
      </c>
      <c r="J15" s="189" t="str">
        <f t="shared" si="3"/>
        <v/>
      </c>
      <c r="K15" s="189" t="str">
        <f t="shared" si="3"/>
        <v/>
      </c>
      <c r="L15" s="220">
        <f>P15</f>
        <v>0.04</v>
      </c>
      <c r="M15" s="221">
        <f>P15</f>
        <v>0.04</v>
      </c>
      <c r="N15" s="86"/>
      <c r="O15" s="210" t="s">
        <v>72</v>
      </c>
      <c r="P15" s="201">
        <v>0.04</v>
      </c>
    </row>
    <row r="16" spans="3:18" ht="16" x14ac:dyDescent="0.2">
      <c r="C16" s="118" t="s">
        <v>91</v>
      </c>
      <c r="D16" s="186"/>
      <c r="E16" s="187"/>
      <c r="F16" s="187"/>
      <c r="G16" s="188"/>
      <c r="H16" s="188"/>
      <c r="I16" s="188"/>
      <c r="J16" s="188"/>
      <c r="K16" s="194"/>
      <c r="L16" s="214">
        <f>IFERROR((K16*$P$8)+K16,"")</f>
        <v>0</v>
      </c>
      <c r="M16" s="215">
        <f>IFERROR((L16*$P$8)+L16,"")</f>
        <v>0</v>
      </c>
      <c r="N16" s="83"/>
      <c r="O16" s="85"/>
    </row>
    <row r="17" spans="3:16" ht="17" thickBot="1" x14ac:dyDescent="0.25">
      <c r="C17" s="148" t="s">
        <v>117</v>
      </c>
      <c r="D17" s="94">
        <f>D14-D16</f>
        <v>0</v>
      </c>
      <c r="E17" s="93">
        <f t="shared" ref="E17:K17" si="4">E14-E16</f>
        <v>0</v>
      </c>
      <c r="F17" s="93">
        <f t="shared" si="4"/>
        <v>0</v>
      </c>
      <c r="G17" s="93">
        <f t="shared" si="4"/>
        <v>0</v>
      </c>
      <c r="H17" s="93">
        <f t="shared" si="4"/>
        <v>0</v>
      </c>
      <c r="I17" s="93">
        <f t="shared" si="4"/>
        <v>0</v>
      </c>
      <c r="J17" s="93">
        <f t="shared" si="4"/>
        <v>0</v>
      </c>
      <c r="K17" s="93">
        <f t="shared" si="4"/>
        <v>0</v>
      </c>
      <c r="L17" s="214">
        <f t="shared" ref="L17" si="5">L14-L16</f>
        <v>0</v>
      </c>
      <c r="M17" s="215">
        <f t="shared" ref="M17" si="6">M14-M16</f>
        <v>0</v>
      </c>
      <c r="N17" s="83"/>
      <c r="O17" s="85"/>
    </row>
    <row r="18" spans="3:16" ht="17" thickBot="1" x14ac:dyDescent="0.25">
      <c r="C18" s="118" t="s">
        <v>92</v>
      </c>
      <c r="D18" s="145"/>
      <c r="E18" s="146"/>
      <c r="F18" s="146"/>
      <c r="G18" s="147"/>
      <c r="H18" s="147"/>
      <c r="I18" s="147"/>
      <c r="J18" s="147"/>
      <c r="K18" s="149"/>
      <c r="L18" s="214">
        <f>IFERROR((K18*$P$18)+K18,"")</f>
        <v>0</v>
      </c>
      <c r="M18" s="215">
        <f>IFERROR((L18*$P$18)+L18,"")</f>
        <v>0</v>
      </c>
      <c r="N18" s="83"/>
      <c r="O18" s="120" t="s">
        <v>16</v>
      </c>
      <c r="P18" s="202">
        <v>0.22</v>
      </c>
    </row>
    <row r="19" spans="3:16" ht="17" thickBot="1" x14ac:dyDescent="0.25">
      <c r="C19" s="151" t="s">
        <v>116</v>
      </c>
      <c r="D19" s="179" t="str">
        <f>IFERROR(D18/D17,"")</f>
        <v/>
      </c>
      <c r="E19" s="180" t="str">
        <f t="shared" ref="E19:K19" si="7">IFERROR(E18/E17,"")</f>
        <v/>
      </c>
      <c r="F19" s="180" t="str">
        <f t="shared" si="7"/>
        <v/>
      </c>
      <c r="G19" s="180" t="str">
        <f t="shared" si="7"/>
        <v/>
      </c>
      <c r="H19" s="180" t="str">
        <f t="shared" si="7"/>
        <v/>
      </c>
      <c r="I19" s="180" t="str">
        <f t="shared" si="7"/>
        <v/>
      </c>
      <c r="J19" s="180" t="str">
        <f t="shared" si="7"/>
        <v/>
      </c>
      <c r="K19" s="180" t="str">
        <f t="shared" si="7"/>
        <v/>
      </c>
      <c r="L19" s="222">
        <f>P18</f>
        <v>0.22</v>
      </c>
      <c r="M19" s="223">
        <f>P18</f>
        <v>0.22</v>
      </c>
      <c r="N19" s="83"/>
      <c r="O19" s="190" t="s">
        <v>115</v>
      </c>
      <c r="P19" s="192" t="str">
        <f>IFERROR(AVERAGE(D19:K19),"")</f>
        <v/>
      </c>
    </row>
    <row r="20" spans="3:16" ht="17" thickBot="1" x14ac:dyDescent="0.25">
      <c r="C20" s="148" t="s">
        <v>93</v>
      </c>
      <c r="D20" s="94">
        <f>D17-D18</f>
        <v>0</v>
      </c>
      <c r="E20" s="93">
        <f t="shared" ref="E20:M20" si="8">E17-E18</f>
        <v>0</v>
      </c>
      <c r="F20" s="93">
        <f t="shared" si="8"/>
        <v>0</v>
      </c>
      <c r="G20" s="93">
        <f t="shared" si="8"/>
        <v>0</v>
      </c>
      <c r="H20" s="93">
        <f t="shared" si="8"/>
        <v>0</v>
      </c>
      <c r="I20" s="93">
        <f t="shared" si="8"/>
        <v>0</v>
      </c>
      <c r="J20" s="93">
        <f t="shared" si="8"/>
        <v>0</v>
      </c>
      <c r="K20" s="93">
        <f t="shared" si="8"/>
        <v>0</v>
      </c>
      <c r="L20" s="122">
        <f t="shared" si="8"/>
        <v>0</v>
      </c>
      <c r="M20" s="123">
        <f t="shared" si="8"/>
        <v>0</v>
      </c>
      <c r="N20" s="83"/>
      <c r="O20" s="85"/>
    </row>
    <row r="21" spans="3:16" ht="17" thickBot="1" x14ac:dyDescent="0.25">
      <c r="C21" s="167" t="s">
        <v>1</v>
      </c>
      <c r="D21" s="115">
        <f t="shared" ref="D21:K21" si="9">D14+D13</f>
        <v>0</v>
      </c>
      <c r="E21" s="116">
        <f t="shared" si="9"/>
        <v>0</v>
      </c>
      <c r="F21" s="116">
        <f t="shared" si="9"/>
        <v>0</v>
      </c>
      <c r="G21" s="116">
        <f t="shared" si="9"/>
        <v>0</v>
      </c>
      <c r="H21" s="116">
        <f t="shared" si="9"/>
        <v>0</v>
      </c>
      <c r="I21" s="116">
        <f t="shared" si="9"/>
        <v>0</v>
      </c>
      <c r="J21" s="116">
        <f t="shared" si="9"/>
        <v>0</v>
      </c>
      <c r="K21" s="117">
        <f t="shared" si="9"/>
        <v>0</v>
      </c>
      <c r="L21" s="123">
        <f t="shared" ref="L21:M21" si="10">L14+L13</f>
        <v>0</v>
      </c>
      <c r="M21" s="123">
        <f t="shared" si="10"/>
        <v>0</v>
      </c>
      <c r="N21" s="41"/>
      <c r="O21" s="85"/>
    </row>
    <row r="22" spans="3:16" ht="17" thickBot="1" x14ac:dyDescent="0.25">
      <c r="C22" s="140" t="s">
        <v>94</v>
      </c>
      <c r="D22" s="141"/>
      <c r="E22" s="142"/>
      <c r="F22" s="142"/>
      <c r="G22" s="143"/>
      <c r="H22" s="143"/>
      <c r="I22" s="143"/>
      <c r="J22" s="143"/>
      <c r="K22" s="144"/>
      <c r="L22" s="143"/>
      <c r="M22" s="144"/>
      <c r="N22" s="82"/>
      <c r="O22" s="86"/>
    </row>
    <row r="23" spans="3:16" ht="16" thickBot="1" x14ac:dyDescent="0.25"/>
    <row r="24" spans="3:16" ht="17" thickBot="1" x14ac:dyDescent="0.25">
      <c r="C24" s="9" t="s">
        <v>88</v>
      </c>
      <c r="D24" s="203"/>
      <c r="E24" s="9"/>
      <c r="F24" s="9" t="s">
        <v>112</v>
      </c>
      <c r="G24" s="92"/>
      <c r="H24" s="9"/>
      <c r="I24" s="95" t="s">
        <v>19</v>
      </c>
      <c r="J24" s="171" t="str">
        <f>IFERROR(G27/K14,"")</f>
        <v/>
      </c>
      <c r="L24" s="722" t="s">
        <v>78</v>
      </c>
      <c r="M24" s="723"/>
      <c r="N24" s="173"/>
    </row>
    <row r="25" spans="3:16" ht="17" thickBot="1" x14ac:dyDescent="0.25">
      <c r="C25" s="9" t="s">
        <v>95</v>
      </c>
      <c r="D25" s="204"/>
      <c r="E25" s="9"/>
      <c r="F25" s="9" t="s">
        <v>113</v>
      </c>
      <c r="G25" s="163">
        <f>K22*G24</f>
        <v>0</v>
      </c>
      <c r="H25" s="9"/>
      <c r="I25" s="157" t="s">
        <v>18</v>
      </c>
      <c r="J25" s="150" t="str">
        <f>IFERROR(G27/K21,"")</f>
        <v/>
      </c>
      <c r="L25" s="718" t="s">
        <v>126</v>
      </c>
      <c r="M25" s="719"/>
      <c r="N25" s="174" t="str">
        <f>IFERROR(K10/K8,"")</f>
        <v/>
      </c>
    </row>
    <row r="26" spans="3:16" ht="17" thickBot="1" x14ac:dyDescent="0.25">
      <c r="C26" s="9" t="s">
        <v>96</v>
      </c>
      <c r="D26" s="85">
        <f>D24*D25</f>
        <v>0</v>
      </c>
      <c r="E26" s="9"/>
      <c r="F26" s="9" t="s">
        <v>118</v>
      </c>
      <c r="G26" s="92"/>
      <c r="H26" s="9"/>
      <c r="I26" s="157" t="s">
        <v>20</v>
      </c>
      <c r="J26" s="150" t="str">
        <f>IFERROR((G25/(K21-K16-K18)),"")</f>
        <v/>
      </c>
      <c r="L26" s="720" t="s">
        <v>127</v>
      </c>
      <c r="M26" s="721"/>
      <c r="N26" s="175" t="str">
        <f>IFERROR((K12/K8)*360,"")</f>
        <v/>
      </c>
    </row>
    <row r="27" spans="3:16" ht="17" thickBot="1" x14ac:dyDescent="0.25">
      <c r="C27" s="9" t="s">
        <v>97</v>
      </c>
      <c r="D27" s="205"/>
      <c r="E27" s="9"/>
      <c r="F27" s="9" t="s">
        <v>119</v>
      </c>
      <c r="G27" s="198">
        <f>G25+G26</f>
        <v>0</v>
      </c>
      <c r="H27" s="9"/>
      <c r="I27" s="158" t="s">
        <v>17</v>
      </c>
      <c r="J27" s="172" t="str">
        <f>IFERROR(G25/K20,"")</f>
        <v/>
      </c>
      <c r="L27" s="125"/>
    </row>
    <row r="28" spans="3:16" ht="16" x14ac:dyDescent="0.2">
      <c r="C28" s="9" t="s">
        <v>98</v>
      </c>
      <c r="D28" s="85">
        <f>D26-(D26*D27)</f>
        <v>0</v>
      </c>
      <c r="E28" s="9"/>
      <c r="F28" s="9"/>
      <c r="G28" s="9"/>
      <c r="H28" s="9"/>
      <c r="I28" s="9"/>
      <c r="J28" s="9"/>
      <c r="K28" s="125"/>
      <c r="L28" s="125"/>
    </row>
    <row r="29" spans="3:16" ht="16" x14ac:dyDescent="0.2">
      <c r="C29" s="9" t="s">
        <v>99</v>
      </c>
      <c r="D29" s="206"/>
      <c r="E29" s="9"/>
      <c r="F29" s="9"/>
      <c r="G29" s="9"/>
      <c r="H29" s="9"/>
      <c r="I29" s="9"/>
      <c r="J29" s="9"/>
      <c r="K29" s="125"/>
      <c r="L29" s="125"/>
    </row>
    <row r="30" spans="3:16" ht="16" x14ac:dyDescent="0.2">
      <c r="C30" s="9" t="s">
        <v>100</v>
      </c>
      <c r="D30" s="206"/>
      <c r="E30" s="9"/>
      <c r="F30" s="9"/>
      <c r="G30" s="9"/>
      <c r="H30" s="9"/>
      <c r="I30" s="9"/>
      <c r="J30" s="9"/>
      <c r="K30" s="125"/>
      <c r="L30" s="125"/>
    </row>
    <row r="31" spans="3:16" ht="17" thickBot="1" x14ac:dyDescent="0.25">
      <c r="C31" s="9" t="s">
        <v>101</v>
      </c>
      <c r="D31" s="86">
        <f>D29-D30</f>
        <v>0</v>
      </c>
      <c r="E31" s="9"/>
      <c r="F31" s="9"/>
      <c r="G31" s="9"/>
      <c r="H31" s="9"/>
      <c r="I31" s="9"/>
      <c r="J31" s="9"/>
      <c r="K31" s="125"/>
      <c r="L31" s="125"/>
    </row>
    <row r="32" spans="3:16" ht="17" thickBot="1" x14ac:dyDescent="0.25">
      <c r="C32" s="9"/>
      <c r="D32" s="9"/>
      <c r="E32" s="9"/>
      <c r="F32" s="125"/>
      <c r="G32" s="9"/>
      <c r="H32" s="9"/>
      <c r="I32" s="9"/>
      <c r="J32" s="9"/>
      <c r="K32" s="125"/>
      <c r="L32" s="125"/>
    </row>
    <row r="33" spans="3:12" ht="17" thickBot="1" x14ac:dyDescent="0.25">
      <c r="C33" s="9" t="s">
        <v>102</v>
      </c>
      <c r="D33" s="124" t="str">
        <f>IFERROR(D26/G25,"")</f>
        <v/>
      </c>
      <c r="E33" s="9"/>
      <c r="F33" s="9"/>
      <c r="G33" s="9"/>
      <c r="H33" s="9"/>
      <c r="I33" s="9"/>
      <c r="J33" s="9"/>
      <c r="K33" s="125"/>
      <c r="L33" s="125"/>
    </row>
    <row r="34" spans="3:12" ht="16" x14ac:dyDescent="0.2">
      <c r="C34" s="9"/>
      <c r="D34" s="9"/>
      <c r="E34" s="9"/>
      <c r="F34" s="9"/>
      <c r="G34" s="9"/>
      <c r="H34" s="9"/>
      <c r="I34" s="9"/>
      <c r="J34" s="9"/>
      <c r="K34" s="125"/>
      <c r="L34" s="125"/>
    </row>
    <row r="35" spans="3:12" ht="16" x14ac:dyDescent="0.2">
      <c r="C35" s="159" t="s">
        <v>103</v>
      </c>
      <c r="D35" s="159"/>
      <c r="E35" s="9"/>
      <c r="F35" s="9"/>
      <c r="G35" s="9"/>
      <c r="H35" s="9"/>
      <c r="I35" s="9"/>
      <c r="J35" s="9"/>
      <c r="K35" s="125"/>
      <c r="L35" s="125"/>
    </row>
    <row r="36" spans="3:12" ht="17" thickBot="1" x14ac:dyDescent="0.25">
      <c r="C36" s="9"/>
      <c r="D36" s="9"/>
      <c r="E36" s="9"/>
      <c r="F36" s="9"/>
      <c r="G36" s="9"/>
      <c r="H36" s="9"/>
      <c r="I36" s="9"/>
      <c r="J36" s="9"/>
      <c r="K36" s="125"/>
      <c r="L36" s="125"/>
    </row>
    <row r="37" spans="3:12" ht="17" thickBot="1" x14ac:dyDescent="0.25">
      <c r="C37" s="9" t="s">
        <v>104</v>
      </c>
      <c r="D37" s="207"/>
      <c r="E37" s="9"/>
      <c r="F37" s="9"/>
      <c r="G37" s="9"/>
      <c r="H37" s="9"/>
      <c r="I37" s="9"/>
      <c r="J37" s="9"/>
      <c r="K37" s="125"/>
      <c r="L37" s="125"/>
    </row>
    <row r="38" spans="3:12" ht="16" x14ac:dyDescent="0.2">
      <c r="C38" s="9" t="s">
        <v>105</v>
      </c>
      <c r="D38" s="208">
        <v>0.09</v>
      </c>
      <c r="E38" s="9"/>
      <c r="F38" s="9"/>
      <c r="G38" s="9"/>
      <c r="H38" s="9"/>
      <c r="I38" s="9"/>
      <c r="J38" s="9"/>
      <c r="K38" s="125"/>
      <c r="L38" s="125"/>
    </row>
    <row r="39" spans="3:12" ht="17" thickBot="1" x14ac:dyDescent="0.25">
      <c r="C39" s="9" t="s">
        <v>85</v>
      </c>
      <c r="D39" s="209">
        <v>0.02</v>
      </c>
      <c r="E39" s="9"/>
      <c r="F39" s="9"/>
      <c r="G39" s="9"/>
      <c r="H39" s="9"/>
      <c r="I39" s="9"/>
      <c r="J39" s="9"/>
      <c r="K39" s="125"/>
      <c r="L39" s="125"/>
    </row>
    <row r="40" spans="3:12" ht="17" thickBot="1" x14ac:dyDescent="0.25">
      <c r="C40" s="9"/>
      <c r="D40" s="9"/>
      <c r="E40" s="9"/>
      <c r="F40" s="9"/>
      <c r="G40" s="9"/>
      <c r="H40" s="9"/>
      <c r="I40" s="9"/>
      <c r="J40" s="9"/>
      <c r="K40" s="125"/>
      <c r="L40" s="125"/>
    </row>
    <row r="41" spans="3:12" ht="17" thickBot="1" x14ac:dyDescent="0.25">
      <c r="C41" s="9" t="s">
        <v>106</v>
      </c>
      <c r="D41" s="114">
        <f>D37*D25</f>
        <v>0</v>
      </c>
      <c r="E41" s="9"/>
      <c r="F41" s="9"/>
      <c r="G41" s="9"/>
      <c r="H41" s="9"/>
      <c r="I41" s="9"/>
      <c r="J41" s="9"/>
      <c r="K41" s="125"/>
      <c r="L41" s="125"/>
    </row>
    <row r="42" spans="3:12" ht="17" thickBot="1" x14ac:dyDescent="0.25">
      <c r="C42" s="9" t="s">
        <v>107</v>
      </c>
      <c r="D42" s="114">
        <f>D41-(D41*D27)</f>
        <v>0</v>
      </c>
      <c r="E42" s="9"/>
      <c r="F42" s="9"/>
      <c r="G42" s="9"/>
      <c r="H42" s="9"/>
      <c r="I42" s="9"/>
      <c r="J42" s="9"/>
      <c r="K42" s="125"/>
      <c r="L42" s="125"/>
    </row>
    <row r="43" spans="3:12" ht="17" thickBot="1" x14ac:dyDescent="0.25">
      <c r="C43" s="9"/>
      <c r="D43" s="9"/>
      <c r="E43" s="9"/>
      <c r="F43" s="9"/>
      <c r="G43" s="9"/>
      <c r="H43" s="9"/>
      <c r="I43" s="9"/>
      <c r="J43" s="9"/>
      <c r="K43" s="125"/>
      <c r="L43" s="125"/>
    </row>
    <row r="44" spans="3:12" ht="17" thickBot="1" x14ac:dyDescent="0.25">
      <c r="C44" s="9" t="s">
        <v>114</v>
      </c>
      <c r="D44" s="152">
        <f>((D42*(1+D39))/(D38-D39))</f>
        <v>0</v>
      </c>
      <c r="E44" s="9"/>
      <c r="F44" s="9"/>
      <c r="G44" s="9"/>
      <c r="H44" s="153"/>
      <c r="I44" s="9"/>
      <c r="J44" s="9"/>
      <c r="K44" s="125"/>
      <c r="L44" s="125"/>
    </row>
    <row r="45" spans="3:12" ht="17" thickBot="1" x14ac:dyDescent="0.25">
      <c r="C45" s="9" t="s">
        <v>111</v>
      </c>
      <c r="D45" s="154">
        <f>(D44/(1+D38))</f>
        <v>0</v>
      </c>
      <c r="E45" s="9"/>
      <c r="F45" s="9"/>
      <c r="G45" s="9"/>
      <c r="H45" s="9"/>
      <c r="I45" s="9"/>
      <c r="J45" s="9"/>
      <c r="K45" s="125"/>
      <c r="L45" s="125"/>
    </row>
    <row r="46" spans="3:12" ht="16" x14ac:dyDescent="0.2">
      <c r="C46" s="9" t="s">
        <v>108</v>
      </c>
      <c r="D46" s="84">
        <f>D31+D28</f>
        <v>0</v>
      </c>
      <c r="E46" s="9"/>
      <c r="F46" s="9"/>
      <c r="G46" s="9"/>
      <c r="H46" s="9"/>
      <c r="I46" s="9"/>
      <c r="J46" s="9"/>
      <c r="K46" s="125"/>
      <c r="L46" s="125"/>
    </row>
    <row r="47" spans="3:12" ht="17" thickBot="1" x14ac:dyDescent="0.25">
      <c r="C47" s="9" t="s">
        <v>109</v>
      </c>
      <c r="D47" s="97">
        <f>D46+D45</f>
        <v>0</v>
      </c>
      <c r="E47" s="9"/>
      <c r="F47" s="9"/>
      <c r="G47" s="9"/>
      <c r="H47" s="9"/>
      <c r="I47" s="9"/>
      <c r="J47" s="9"/>
      <c r="K47" s="125"/>
      <c r="L47" s="125"/>
    </row>
    <row r="48" spans="3:12" ht="17" thickBot="1" x14ac:dyDescent="0.25">
      <c r="C48" s="155" t="s">
        <v>110</v>
      </c>
      <c r="D48" s="156" t="str">
        <f>IFERROR(D47/K22,"")</f>
        <v/>
      </c>
      <c r="E48" s="9"/>
      <c r="F48" s="9"/>
      <c r="G48" s="9"/>
      <c r="H48" s="9"/>
      <c r="I48" s="9"/>
      <c r="J48" s="9"/>
      <c r="K48" s="125"/>
      <c r="L48" s="125"/>
    </row>
    <row r="49" spans="3:12" ht="17" thickBot="1" x14ac:dyDescent="0.25">
      <c r="C49" s="9" t="s">
        <v>128</v>
      </c>
      <c r="D49" s="199" t="str">
        <f>IFERROR(1-(G24/D48),"")</f>
        <v/>
      </c>
      <c r="E49" s="125"/>
      <c r="F49" s="125"/>
      <c r="G49" s="125"/>
      <c r="H49" s="125"/>
      <c r="I49" s="125"/>
      <c r="J49" s="125"/>
      <c r="K49" s="125"/>
      <c r="L49" s="125"/>
    </row>
  </sheetData>
  <sheetProtection sheet="1" objects="1" scenarios="1" selectLockedCells="1"/>
  <mergeCells count="4">
    <mergeCell ref="D1:K1"/>
    <mergeCell ref="L25:M25"/>
    <mergeCell ref="L26:M26"/>
    <mergeCell ref="L24:M24"/>
  </mergeCells>
  <conditionalFormatting sqref="P19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{31EE2B56-B25F-481B-A3DC-23D15FA6B4B0}</x14:id>
        </ext>
      </extLst>
    </cfRule>
  </conditionalFormatting>
  <conditionalFormatting sqref="D49">
    <cfRule type="dataBar" priority="2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{1535D1EA-DBA4-4AE0-AEC2-49EBF3EFEE26}</x14:id>
        </ext>
      </extLst>
    </cfRule>
  </conditionalFormatting>
  <conditionalFormatting sqref="D33">
    <cfRule type="dataBar" priority="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{5F00C8FB-867F-4648-9C7E-DE7E83478F02}</x14:id>
        </ext>
      </extLst>
    </cfRule>
  </conditionalFormatting>
  <pageMargins left="0.7" right="0.7" top="0.75" bottom="0.75" header="0.3" footer="0.3"/>
  <drawing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B56-B25F-481B-A3DC-23D15FA6B4B0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P19</xm:sqref>
        </x14:conditionalFormatting>
        <x14:conditionalFormatting xmlns:xm="http://schemas.microsoft.com/office/excel/2006/main">
          <x14:cfRule type="dataBar" id="{1535D1EA-DBA4-4AE0-AEC2-49EBF3EFEE26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D49</xm:sqref>
        </x14:conditionalFormatting>
        <x14:conditionalFormatting xmlns:xm="http://schemas.microsoft.com/office/excel/2006/main">
          <x14:cfRule type="dataBar" id="{5F00C8FB-867F-4648-9C7E-DE7E83478F02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D33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500-00001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Ingeniería'!D14:K14</xm:f>
              <xm:sqref>N14</xm:sqref>
            </x14:sparkline>
          </x14:sparklines>
        </x14:sparklineGroup>
        <x14:sparklineGroup type="column" displayEmptyCellsAs="gap" xr2:uid="{00000000-0003-0000-0500-00001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Ingeniería'!D7:K7</xm:f>
              <xm:sqref>N7</xm:sqref>
            </x14:sparkline>
          </x14:sparklines>
        </x14:sparklineGroup>
        <x14:sparklineGroup type="column" displayEmptyCellsAs="gap" xr2:uid="{00000000-0003-0000-0500-00001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Ingeniería'!D6:K6</xm:f>
              <xm:sqref>N6</xm:sqref>
            </x14:sparkline>
          </x14:sparklines>
        </x14:sparklineGroup>
        <x14:sparklineGroup type="column" displayEmptyCellsAs="gap" xr2:uid="{00000000-0003-0000-0500-00000F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Ingeniería'!D5:K5</xm:f>
              <xm:sqref>N5</xm:sqref>
            </x14:sparkline>
          </x14:sparklines>
        </x14:sparklineGroup>
        <x14:sparklineGroup type="column" displayEmptyCellsAs="gap" xr2:uid="{00000000-0003-0000-0500-00000E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Ingeniería'!D4:K4</xm:f>
              <xm:sqref>N4</xm:sqref>
            </x14:sparkline>
          </x14:sparklines>
        </x14:sparklineGroup>
        <x14:sparklineGroup type="column" displayEmptyCellsAs="gap" xr2:uid="{00000000-0003-0000-0500-00000D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Ingeniería'!D3:K3</xm:f>
              <xm:sqref>N3</xm:sqref>
            </x14:sparkline>
          </x14:sparklines>
        </x14:sparklineGroup>
        <x14:sparklineGroup type="column" displayEmptyCellsAs="gap" xr2:uid="{00000000-0003-0000-0500-00000C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Ingeniería'!D15:K15</xm:f>
              <xm:sqref>N15</xm:sqref>
            </x14:sparkline>
          </x14:sparklines>
        </x14:sparklineGroup>
        <x14:sparklineGroup displayEmptyCellsAs="gap" xr2:uid="{00000000-0003-0000-05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Ingeniería'!D12:K12</xm:f>
              <xm:sqref>N12</xm:sqref>
            </x14:sparkline>
          </x14:sparklines>
        </x14:sparklineGroup>
        <x14:sparklineGroup displayEmptyCellsAs="gap" xr2:uid="{00000000-0003-0000-05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Ingeniería'!D10:K10</xm:f>
              <xm:sqref>N10</xm:sqref>
            </x14:sparkline>
          </x14:sparklines>
        </x14:sparklineGroup>
        <x14:sparklineGroup displayEmptyCellsAs="gap" xr2:uid="{00000000-0003-0000-05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Ingeniería'!D8:K8</xm:f>
              <xm:sqref>N8</xm:sqref>
            </x14:sparkline>
          </x14:sparklines>
        </x14:sparklineGroup>
        <x14:sparklineGroup displayEmptyCellsAs="gap" xr2:uid="{00000000-0003-0000-05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Ingeniería'!D18:K18</xm:f>
              <xm:sqref>N18</xm:sqref>
            </x14:sparkline>
          </x14:sparklines>
        </x14:sparklineGroup>
        <x14:sparklineGroup displayEmptyCellsAs="gap" xr2:uid="{00000000-0003-0000-05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Ingeniería'!D20:K20</xm:f>
              <xm:sqref>N20</xm:sqref>
            </x14:sparkline>
          </x14:sparklines>
        </x14:sparklineGroup>
        <x14:sparklineGroup displayEmptyCellsAs="gap" xr2:uid="{00000000-0003-0000-05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Ingeniería'!D21:K21</xm:f>
              <xm:sqref>N21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Income Statement_P&amp;L</vt:lpstr>
      <vt:lpstr>Balance</vt:lpstr>
      <vt:lpstr> Cash Flow</vt:lpstr>
      <vt:lpstr>Valuation</vt:lpstr>
      <vt:lpstr>6. Ingeniería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2022-10-11T16:02:50Z</dcterms:modified>
</cp:coreProperties>
</file>